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payesh!$A$1:$X$173</definedName>
  </definedNames>
  <calcPr calcId="152511"/>
</workbook>
</file>

<file path=xl/calcChain.xml><?xml version="1.0" encoding="utf-8"?>
<calcChain xmlns="http://schemas.openxmlformats.org/spreadsheetml/2006/main">
  <c r="R35" i="15" l="1"/>
  <c r="Q35" i="15"/>
  <c r="P35" i="15"/>
  <c r="R28" i="15"/>
  <c r="Q28" i="15"/>
  <c r="P28" i="15"/>
  <c r="R21" i="15"/>
  <c r="Q21" i="15"/>
  <c r="P21" i="15"/>
  <c r="R14" i="15"/>
  <c r="T14" i="15"/>
  <c r="Q14" i="15"/>
  <c r="P14" i="15"/>
  <c r="R38" i="15" l="1"/>
  <c r="Q38" i="15"/>
  <c r="P38" i="15"/>
  <c r="R31" i="15"/>
  <c r="Q31" i="15"/>
  <c r="P31" i="15"/>
  <c r="P32" i="15"/>
  <c r="R24" i="15"/>
  <c r="Q24" i="15"/>
  <c r="P24" i="15"/>
  <c r="T17" i="15"/>
  <c r="R17" i="15"/>
  <c r="Q17" i="15"/>
  <c r="P17" i="15"/>
  <c r="R36" i="15" l="1"/>
  <c r="Q39" i="15"/>
  <c r="Q37" i="15"/>
  <c r="Q36" i="15"/>
  <c r="Q32" i="15"/>
  <c r="Q30" i="15"/>
  <c r="Q29" i="15"/>
  <c r="P30" i="15"/>
  <c r="P29" i="15"/>
  <c r="R39" i="15" l="1"/>
  <c r="R37" i="15"/>
  <c r="P39" i="15"/>
  <c r="Q40" i="15"/>
  <c r="P37" i="15"/>
  <c r="P36" i="15"/>
  <c r="R32" i="15"/>
  <c r="R30" i="15"/>
  <c r="R29" i="15"/>
  <c r="Q33" i="15"/>
  <c r="P33" i="15"/>
  <c r="R25" i="15"/>
  <c r="R23" i="15"/>
  <c r="R22" i="15"/>
  <c r="Q25" i="15"/>
  <c r="Q23" i="15"/>
  <c r="Q22" i="15"/>
  <c r="P25" i="15"/>
  <c r="P23" i="15"/>
  <c r="P22" i="15"/>
  <c r="Q26" i="15" l="1"/>
  <c r="R33" i="15"/>
  <c r="P26" i="15"/>
  <c r="R40" i="15"/>
  <c r="P40" i="15"/>
  <c r="R26" i="15"/>
  <c r="R18" i="15" l="1"/>
  <c r="R16" i="15"/>
  <c r="R15" i="15"/>
  <c r="Q18" i="15"/>
  <c r="Q15" i="15"/>
  <c r="Q16" i="15"/>
  <c r="T18" i="15"/>
  <c r="T16" i="15"/>
  <c r="T15" i="15"/>
  <c r="R19" i="15" l="1"/>
  <c r="T19" i="15"/>
  <c r="Q19" i="15"/>
  <c r="S17" i="15"/>
  <c r="P16" i="15"/>
  <c r="S16" i="15" s="1"/>
  <c r="P15" i="15"/>
  <c r="S15" i="15" s="1"/>
  <c r="S14" i="15"/>
  <c r="P18" i="15"/>
  <c r="S18" i="15" s="1"/>
  <c r="P19" i="15" l="1"/>
  <c r="S19" i="15"/>
  <c r="Q5" i="15"/>
  <c r="L6" i="15"/>
  <c r="L5" i="15"/>
  <c r="D9" i="15"/>
  <c r="D8" i="15"/>
  <c r="D7" i="15"/>
  <c r="D6" i="15"/>
  <c r="D5" i="15"/>
  <c r="D4" i="15"/>
  <c r="Q6" i="15" l="1"/>
  <c r="Q7" i="15"/>
  <c r="Q8" i="15"/>
  <c r="Q9" i="15"/>
  <c r="L7" i="15"/>
  <c r="L8" i="15"/>
  <c r="L9" i="15"/>
  <c r="L10" i="15"/>
  <c r="L11" i="15"/>
  <c r="L12" i="15"/>
  <c r="L13" i="15"/>
  <c r="L14" i="15"/>
  <c r="E4" i="19" l="1"/>
  <c r="F4" i="19"/>
  <c r="G4" i="19"/>
  <c r="H4" i="19"/>
  <c r="I4" i="19"/>
  <c r="J4" i="19"/>
  <c r="K4" i="19"/>
  <c r="L4" i="19"/>
  <c r="M4" i="19"/>
  <c r="N4" i="19"/>
  <c r="O4" i="19"/>
  <c r="P4" i="19"/>
  <c r="Q4" i="19"/>
  <c r="R4" i="19"/>
  <c r="S4" i="19"/>
  <c r="T4" i="19"/>
  <c r="U4" i="19"/>
  <c r="V4" i="19"/>
  <c r="W4" i="19"/>
  <c r="E5" i="19"/>
  <c r="F5" i="19"/>
  <c r="G5" i="19"/>
  <c r="H5" i="19"/>
  <c r="I5" i="19"/>
  <c r="J5" i="19"/>
  <c r="K5" i="19"/>
  <c r="L5" i="19"/>
  <c r="M5" i="19"/>
  <c r="N5" i="19"/>
  <c r="O5" i="19"/>
  <c r="P5" i="19"/>
  <c r="Q5" i="19"/>
  <c r="R5" i="19"/>
  <c r="S5" i="19"/>
  <c r="T5" i="19"/>
  <c r="U5" i="19"/>
  <c r="V5" i="19"/>
  <c r="W5" i="19"/>
  <c r="E6" i="19"/>
  <c r="F6" i="19"/>
  <c r="G6" i="19"/>
  <c r="H6" i="19"/>
  <c r="I6" i="19"/>
  <c r="J6" i="19"/>
  <c r="K6" i="19"/>
  <c r="L6" i="19"/>
  <c r="M6" i="19"/>
  <c r="N6" i="19"/>
  <c r="O6" i="19"/>
  <c r="P6" i="19"/>
  <c r="Q6" i="19"/>
  <c r="R6" i="19"/>
  <c r="S6" i="19"/>
  <c r="T6" i="19"/>
  <c r="U6" i="19"/>
  <c r="V6" i="19"/>
  <c r="W6" i="19"/>
  <c r="E7" i="19"/>
  <c r="F7" i="19"/>
  <c r="G7" i="19"/>
  <c r="H7" i="19"/>
  <c r="I7" i="19"/>
  <c r="J7" i="19"/>
  <c r="K7" i="19"/>
  <c r="L7" i="19"/>
  <c r="M7" i="19"/>
  <c r="N7" i="19"/>
  <c r="O7" i="19"/>
  <c r="P7" i="19"/>
  <c r="Q7" i="19"/>
  <c r="R7" i="19"/>
  <c r="S7" i="19"/>
  <c r="T7" i="19"/>
  <c r="U7" i="19"/>
  <c r="V7" i="19"/>
  <c r="W7" i="19"/>
  <c r="E8" i="19"/>
  <c r="F8" i="19"/>
  <c r="G8" i="19"/>
  <c r="H8" i="19"/>
  <c r="I8" i="19"/>
  <c r="J8" i="19"/>
  <c r="K8" i="19"/>
  <c r="L8" i="19"/>
  <c r="M8" i="19"/>
  <c r="N8" i="19"/>
  <c r="O8" i="19"/>
  <c r="P8" i="19"/>
  <c r="Q8" i="19"/>
  <c r="R8" i="19"/>
  <c r="S8" i="19"/>
  <c r="T8" i="19"/>
  <c r="U8" i="19"/>
  <c r="V8" i="19"/>
  <c r="W8" i="19"/>
  <c r="E9" i="19"/>
  <c r="F9" i="19"/>
  <c r="G9" i="19"/>
  <c r="H9" i="19"/>
  <c r="I9" i="19"/>
  <c r="J9" i="19"/>
  <c r="K9" i="19"/>
  <c r="L9" i="19"/>
  <c r="M9" i="19"/>
  <c r="N9" i="19"/>
  <c r="O9" i="19"/>
  <c r="P9" i="19"/>
  <c r="Q9" i="19"/>
  <c r="R9" i="19"/>
  <c r="S9" i="19"/>
  <c r="T9" i="19"/>
  <c r="U9" i="19"/>
  <c r="V9" i="19"/>
  <c r="W9" i="19"/>
  <c r="E10" i="19"/>
  <c r="F10" i="19"/>
  <c r="G10" i="19"/>
  <c r="H10" i="19"/>
  <c r="I10" i="19"/>
  <c r="J10" i="19"/>
  <c r="K10" i="19"/>
  <c r="L10" i="19"/>
  <c r="M10" i="19"/>
  <c r="N10" i="19"/>
  <c r="O10" i="19"/>
  <c r="P10" i="19"/>
  <c r="Q10" i="19"/>
  <c r="R10" i="19"/>
  <c r="S10" i="19"/>
  <c r="T10" i="19"/>
  <c r="U10" i="19"/>
  <c r="V10" i="19"/>
  <c r="W10" i="19"/>
  <c r="E11" i="19"/>
  <c r="F11" i="19"/>
  <c r="G11" i="19"/>
  <c r="H11" i="19"/>
  <c r="I11" i="19"/>
  <c r="J11" i="19"/>
  <c r="K11" i="19"/>
  <c r="L11" i="19"/>
  <c r="M11" i="19"/>
  <c r="N11" i="19"/>
  <c r="O11" i="19"/>
  <c r="P11" i="19"/>
  <c r="Q11" i="19"/>
  <c r="R11" i="19"/>
  <c r="S11" i="19"/>
  <c r="T11" i="19"/>
  <c r="U11" i="19"/>
  <c r="V11" i="19"/>
  <c r="W11" i="19"/>
  <c r="D7" i="19"/>
  <c r="D8" i="19"/>
  <c r="D9" i="19"/>
  <c r="D10" i="19"/>
  <c r="D11" i="19"/>
  <c r="D6" i="19"/>
  <c r="D5" i="19"/>
  <c r="D4" i="19"/>
  <c r="D3" i="19"/>
  <c r="AD3" i="19"/>
  <c r="AD10" i="19" l="1"/>
  <c r="AD8" i="19"/>
  <c r="AD6" i="19"/>
  <c r="AD12" i="19" s="1"/>
  <c r="X11" i="19"/>
  <c r="X9" i="19"/>
  <c r="X7" i="19"/>
  <c r="AD11" i="19"/>
  <c r="X10" i="19"/>
  <c r="AD9" i="19"/>
  <c r="X8" i="19"/>
  <c r="AD7" i="19"/>
  <c r="X6" i="19"/>
  <c r="X12" i="19" s="1"/>
  <c r="Q10" i="15" l="1"/>
  <c r="L15" i="15"/>
  <c r="F58" i="12"/>
  <c r="G58" i="12"/>
  <c r="H58" i="12"/>
  <c r="I58" i="12"/>
  <c r="J58" i="12"/>
  <c r="K58" i="12"/>
  <c r="L58" i="12"/>
  <c r="M58" i="12"/>
  <c r="N58" i="12"/>
  <c r="O58" i="12"/>
  <c r="P58" i="12"/>
  <c r="Q58" i="12"/>
  <c r="R58" i="12"/>
  <c r="S58" i="12"/>
  <c r="T58" i="12"/>
  <c r="U58" i="12"/>
  <c r="V58" i="12"/>
  <c r="W58" i="12"/>
  <c r="X58" i="12"/>
  <c r="E58" i="12"/>
  <c r="D10" i="15" l="1"/>
  <c r="D11" i="15"/>
  <c r="D12" i="15"/>
  <c r="D13" i="15"/>
  <c r="D14" i="15"/>
  <c r="D15" i="15"/>
  <c r="D16" i="15"/>
  <c r="D17" i="15"/>
  <c r="D18" i="15"/>
  <c r="D19" i="15"/>
  <c r="D20" i="15"/>
  <c r="D21" i="15"/>
  <c r="D22" i="15"/>
  <c r="D23" i="15"/>
  <c r="G15" i="15" l="1"/>
  <c r="G23" i="15"/>
  <c r="G19" i="15"/>
  <c r="G22" i="15"/>
  <c r="G18" i="15"/>
  <c r="G14" i="15"/>
  <c r="G21" i="15"/>
  <c r="G17" i="15"/>
  <c r="G20" i="15"/>
  <c r="G16" i="15"/>
  <c r="F34" i="12"/>
  <c r="G34" i="12"/>
  <c r="H34" i="12"/>
  <c r="I34" i="12"/>
  <c r="J34" i="12"/>
  <c r="K34" i="12"/>
  <c r="L34" i="12"/>
  <c r="M34" i="12"/>
  <c r="N34" i="12"/>
  <c r="O34" i="12"/>
  <c r="P34" i="12"/>
  <c r="Q34" i="12"/>
  <c r="R34" i="12"/>
  <c r="S34" i="12"/>
  <c r="T34" i="12"/>
  <c r="U34" i="12"/>
  <c r="V34" i="12"/>
  <c r="W34" i="12"/>
  <c r="X34" i="12"/>
  <c r="E34" i="12"/>
  <c r="E25" i="12" l="1"/>
  <c r="E23" i="14" l="1"/>
  <c r="B8" i="16" l="1"/>
  <c r="B7" i="16"/>
  <c r="B6" i="16"/>
  <c r="B5" i="16"/>
  <c r="B4" i="16"/>
  <c r="E9" i="14"/>
  <c r="E22" i="14"/>
  <c r="AB21" i="13"/>
  <c r="AB22" i="13"/>
  <c r="AB23" i="13"/>
  <c r="AC21" i="13"/>
  <c r="AC22" i="13"/>
  <c r="AC23" i="13"/>
  <c r="AD21" i="13"/>
  <c r="AD22" i="13"/>
  <c r="AD23" i="13"/>
  <c r="AE21" i="13"/>
  <c r="AE22" i="13"/>
  <c r="AE23" i="13"/>
  <c r="AF21" i="13"/>
  <c r="AF22" i="13"/>
  <c r="AF23" i="13"/>
  <c r="AG21" i="13"/>
  <c r="AG22" i="13"/>
  <c r="AG23" i="13"/>
  <c r="AH21" i="13"/>
  <c r="AH22" i="13"/>
  <c r="AH23" i="13"/>
  <c r="AI21" i="13"/>
  <c r="AI22" i="13"/>
  <c r="AI23" i="13"/>
  <c r="AJ21" i="13"/>
  <c r="AJ22" i="13"/>
  <c r="AJ23" i="13"/>
  <c r="AK21" i="13"/>
  <c r="AK22" i="13"/>
  <c r="AK23"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23" i="13"/>
  <c r="Z22" i="13"/>
  <c r="Z21" i="13"/>
  <c r="Z20" i="13"/>
  <c r="Z19" i="13"/>
  <c r="Z18" i="13"/>
  <c r="Z17" i="13"/>
  <c r="Z16" i="13"/>
  <c r="Z15" i="13"/>
  <c r="Z14" i="13"/>
  <c r="Z13" i="13"/>
  <c r="Z12" i="13"/>
  <c r="Z11" i="13"/>
  <c r="Z10" i="13"/>
  <c r="Z9" i="13"/>
  <c r="Z8" i="13"/>
  <c r="Z7" i="13"/>
  <c r="Z6" i="13"/>
  <c r="Z5" i="13"/>
  <c r="Z4" i="13"/>
  <c r="Y23" i="13"/>
  <c r="Y22" i="13"/>
  <c r="Y21" i="13"/>
  <c r="Y20" i="13"/>
  <c r="Y19" i="13"/>
  <c r="Y18" i="13"/>
  <c r="Y17" i="13"/>
  <c r="Y16" i="13"/>
  <c r="Y15" i="13"/>
  <c r="Y14" i="13"/>
  <c r="Y13" i="13"/>
  <c r="Y12" i="13"/>
  <c r="Y11" i="13"/>
  <c r="Y10" i="13"/>
  <c r="Y9" i="13"/>
  <c r="Y8" i="13"/>
  <c r="Y7" i="13"/>
  <c r="Y6" i="13"/>
  <c r="Y5" i="13"/>
  <c r="Y4" i="13"/>
  <c r="U23" i="13"/>
  <c r="U22" i="13"/>
  <c r="U21" i="13"/>
  <c r="U20" i="13"/>
  <c r="U19" i="13"/>
  <c r="U18" i="13"/>
  <c r="U17" i="13"/>
  <c r="U16" i="13"/>
  <c r="U15" i="13"/>
  <c r="U14" i="13"/>
  <c r="U13" i="13"/>
  <c r="U12" i="13"/>
  <c r="U11" i="13"/>
  <c r="U10" i="13"/>
  <c r="U9" i="13" l="1"/>
  <c r="U8" i="13"/>
  <c r="U7" i="13"/>
  <c r="U6" i="13"/>
  <c r="U5" i="13"/>
  <c r="U4" i="13"/>
  <c r="S23" i="13"/>
  <c r="S22" i="13"/>
  <c r="S21" i="13"/>
  <c r="S20" i="13"/>
  <c r="S19" i="13"/>
  <c r="S18" i="13"/>
  <c r="S17" i="13"/>
  <c r="S16" i="13"/>
  <c r="S15" i="13"/>
  <c r="S14" i="13"/>
  <c r="S13" i="13"/>
  <c r="S12" i="13"/>
  <c r="S11" i="13"/>
  <c r="S10" i="13"/>
  <c r="S9" i="13"/>
  <c r="S8" i="13"/>
  <c r="S7" i="13"/>
  <c r="S6" i="13"/>
  <c r="S5" i="13"/>
  <c r="S4" i="13"/>
  <c r="R57" i="12" l="1"/>
  <c r="S57" i="12"/>
  <c r="T57" i="12"/>
  <c r="U57" i="12"/>
  <c r="V57" i="12"/>
  <c r="W57" i="12"/>
  <c r="X57" i="12"/>
  <c r="Q24" i="12" l="1"/>
  <c r="R24" i="12"/>
  <c r="S24" i="12"/>
  <c r="T24" i="12"/>
  <c r="U24" i="12"/>
  <c r="V24" i="12"/>
  <c r="W24" i="12"/>
  <c r="X24" i="12"/>
  <c r="P24"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B8" i="17"/>
  <c r="AC8" i="17"/>
  <c r="AD8" i="17"/>
  <c r="AE8" i="17"/>
  <c r="AF8" i="17"/>
  <c r="AG8" i="17"/>
  <c r="AH8" i="17"/>
  <c r="AI8" i="17"/>
  <c r="AJ8" i="17"/>
  <c r="AK8" i="17"/>
  <c r="AL8" i="17"/>
  <c r="AM8" i="17"/>
  <c r="AN8" i="17"/>
  <c r="AO8" i="17"/>
  <c r="AP8" i="17"/>
  <c r="AQ8" i="17"/>
  <c r="AR8" i="17"/>
  <c r="AS8" i="17"/>
  <c r="AT8" i="17"/>
  <c r="AB9" i="17"/>
  <c r="AC9" i="17"/>
  <c r="AD9" i="17"/>
  <c r="AE9" i="17"/>
  <c r="AF9" i="17"/>
  <c r="AG9" i="17"/>
  <c r="AH9" i="17"/>
  <c r="AI9" i="17"/>
  <c r="AJ9" i="17"/>
  <c r="AK9" i="17"/>
  <c r="AL9" i="17"/>
  <c r="AM9" i="17"/>
  <c r="AN9" i="17"/>
  <c r="AO9" i="17"/>
  <c r="AP9" i="17"/>
  <c r="AQ9" i="17"/>
  <c r="AR9" i="17"/>
  <c r="AS9" i="17"/>
  <c r="AT9" i="17"/>
  <c r="AB10" i="17"/>
  <c r="AC10" i="17"/>
  <c r="AD10" i="17"/>
  <c r="AE10" i="17"/>
  <c r="AF10" i="17"/>
  <c r="AG10" i="17"/>
  <c r="AH10" i="17"/>
  <c r="AI10" i="17"/>
  <c r="AJ10" i="17"/>
  <c r="AK10" i="17"/>
  <c r="AL10" i="17"/>
  <c r="AM10" i="17"/>
  <c r="AN10" i="17"/>
  <c r="AO10" i="17"/>
  <c r="AP10" i="17"/>
  <c r="AQ10" i="17"/>
  <c r="AR10" i="17"/>
  <c r="AS10" i="17"/>
  <c r="AT10" i="17"/>
  <c r="AB11" i="17"/>
  <c r="AC11" i="17"/>
  <c r="AD11" i="17"/>
  <c r="AE11" i="17"/>
  <c r="AF11" i="17"/>
  <c r="AG11" i="17"/>
  <c r="AH11" i="17"/>
  <c r="AI11" i="17"/>
  <c r="AJ11" i="17"/>
  <c r="AK11" i="17"/>
  <c r="AL11" i="17"/>
  <c r="AM11" i="17"/>
  <c r="AN11" i="17"/>
  <c r="AO11" i="17"/>
  <c r="AP11" i="17"/>
  <c r="AQ11" i="17"/>
  <c r="AR11" i="17"/>
  <c r="AS11" i="17"/>
  <c r="AT11" i="17"/>
  <c r="AA11" i="17"/>
  <c r="AA10" i="17"/>
  <c r="AA9" i="17"/>
  <c r="AA8" i="17"/>
  <c r="AA7" i="17"/>
  <c r="AB6" i="17"/>
  <c r="AC6" i="17"/>
  <c r="AD6" i="17"/>
  <c r="AE6" i="17"/>
  <c r="AF6" i="17"/>
  <c r="AG6" i="17"/>
  <c r="AH6" i="17"/>
  <c r="AI6" i="17"/>
  <c r="AJ6" i="17"/>
  <c r="AK6" i="17"/>
  <c r="AL6" i="17"/>
  <c r="AM6" i="17"/>
  <c r="AN6" i="17"/>
  <c r="AO6" i="17"/>
  <c r="AP6" i="17"/>
  <c r="AQ6" i="17"/>
  <c r="AR6" i="17"/>
  <c r="AS6" i="17"/>
  <c r="AT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B4" i="17"/>
  <c r="AC4" i="17"/>
  <c r="AD4" i="17"/>
  <c r="AE4" i="17"/>
  <c r="AF4" i="17"/>
  <c r="AG4" i="17"/>
  <c r="AH4" i="17"/>
  <c r="AI4" i="17"/>
  <c r="AJ4" i="17"/>
  <c r="AK4" i="17"/>
  <c r="AL4" i="17"/>
  <c r="AM4" i="17"/>
  <c r="AN4" i="17"/>
  <c r="AO4" i="17"/>
  <c r="AP4" i="17"/>
  <c r="AQ4" i="17"/>
  <c r="AR4" i="17"/>
  <c r="AS4" i="17"/>
  <c r="AT4" i="17"/>
  <c r="AB5" i="17"/>
  <c r="AC5" i="17"/>
  <c r="AD5" i="17"/>
  <c r="AF5" i="17"/>
  <c r="AG5" i="17"/>
  <c r="AH5" i="17"/>
  <c r="AI5" i="17"/>
  <c r="AJ5" i="17"/>
  <c r="AK5" i="17"/>
  <c r="AL5" i="17"/>
  <c r="AM5" i="17"/>
  <c r="AN5" i="17"/>
  <c r="AO5" i="17"/>
  <c r="AP5" i="17"/>
  <c r="AQ5" i="17"/>
  <c r="AR5" i="17"/>
  <c r="AS5" i="17"/>
  <c r="AT5" i="17"/>
  <c r="AA5" i="17"/>
  <c r="AA4" i="17"/>
  <c r="AA3" i="17"/>
  <c r="AA2" i="17"/>
  <c r="K12" i="17"/>
  <c r="J12" i="17"/>
  <c r="I12" i="17"/>
  <c r="G12" i="17"/>
  <c r="Q11" i="17" l="1"/>
  <c r="AB11" i="19" s="1"/>
  <c r="Y11" i="17"/>
  <c r="AF11" i="19" s="1"/>
  <c r="O11" i="17"/>
  <c r="Z11" i="19" s="1"/>
  <c r="P11" i="17" l="1"/>
  <c r="AA11" i="19" s="1"/>
  <c r="N11" i="17"/>
  <c r="Y11" i="19" s="1"/>
  <c r="X11" i="17"/>
  <c r="X7" i="17"/>
  <c r="AE7" i="19" s="1"/>
  <c r="Y7" i="17"/>
  <c r="AF7" i="19" s="1"/>
  <c r="Y10" i="17"/>
  <c r="AF10" i="19" s="1"/>
  <c r="X10" i="17"/>
  <c r="AE10" i="19" s="1"/>
  <c r="Q9" i="17"/>
  <c r="AB9" i="19" s="1"/>
  <c r="N9" i="17"/>
  <c r="Y9" i="19" s="1"/>
  <c r="O9" i="17"/>
  <c r="Z9" i="19" s="1"/>
  <c r="P9" i="17"/>
  <c r="AA9" i="19" s="1"/>
  <c r="X6" i="17"/>
  <c r="AE6" i="19" s="1"/>
  <c r="Y6" i="17"/>
  <c r="AF6" i="19" s="1"/>
  <c r="Y8" i="17"/>
  <c r="AF8" i="19" s="1"/>
  <c r="X8" i="17"/>
  <c r="AE8" i="19" s="1"/>
  <c r="W12" i="17"/>
  <c r="O7" i="17"/>
  <c r="Z7" i="19" s="1"/>
  <c r="Q7" i="17"/>
  <c r="AB7" i="19" s="1"/>
  <c r="P7" i="17"/>
  <c r="AA7" i="19" s="1"/>
  <c r="N7" i="17"/>
  <c r="Y7" i="19" s="1"/>
  <c r="N10" i="17"/>
  <c r="Y10" i="19" s="1"/>
  <c r="Q10" i="17"/>
  <c r="AB10" i="19" s="1"/>
  <c r="P10" i="17"/>
  <c r="AA10" i="19" s="1"/>
  <c r="O10" i="17"/>
  <c r="Z10" i="19" s="1"/>
  <c r="Y9" i="17"/>
  <c r="AF9" i="19" s="1"/>
  <c r="X9" i="17"/>
  <c r="AE9" i="19" s="1"/>
  <c r="P6" i="17"/>
  <c r="AA6" i="19" s="1"/>
  <c r="O6" i="17"/>
  <c r="Z6" i="19" s="1"/>
  <c r="Q6" i="17"/>
  <c r="AB6" i="19" s="1"/>
  <c r="N6" i="17"/>
  <c r="Y6" i="19" s="1"/>
  <c r="P8" i="17"/>
  <c r="AA8" i="19" s="1"/>
  <c r="Q8" i="17"/>
  <c r="AB8" i="19" s="1"/>
  <c r="O8" i="17"/>
  <c r="Z8" i="19" s="1"/>
  <c r="N8" i="17"/>
  <c r="Y8" i="19" s="1"/>
  <c r="AC8" i="19" l="1"/>
  <c r="AG9" i="19"/>
  <c r="AG8" i="19"/>
  <c r="AG10" i="19"/>
  <c r="AG7" i="19"/>
  <c r="AA12" i="19"/>
  <c r="AF12" i="19"/>
  <c r="AC9" i="19"/>
  <c r="Z12" i="19"/>
  <c r="AC7" i="19"/>
  <c r="AC11" i="19"/>
  <c r="Z11" i="17"/>
  <c r="AE11" i="19"/>
  <c r="AG11" i="19" s="1"/>
  <c r="Y12" i="19"/>
  <c r="AC6" i="19"/>
  <c r="AC12" i="19" s="1"/>
  <c r="AC10" i="19"/>
  <c r="AB12" i="19"/>
  <c r="AG6" i="19"/>
  <c r="R11" i="17"/>
  <c r="O12" i="17"/>
  <c r="X12" i="17"/>
  <c r="P12" i="17"/>
  <c r="Y12" i="17"/>
  <c r="R8" i="17"/>
  <c r="R6" i="17"/>
  <c r="Z9" i="17"/>
  <c r="R7" i="17"/>
  <c r="Z8" i="17"/>
  <c r="Z10" i="17"/>
  <c r="Q12" i="17"/>
  <c r="R9" i="17"/>
  <c r="R10" i="17"/>
  <c r="Z6" i="17"/>
  <c r="Z7" i="17"/>
  <c r="N12" i="17"/>
  <c r="AG12" i="19" l="1"/>
  <c r="AE12" i="19"/>
  <c r="R12" i="17"/>
  <c r="Z12" i="17"/>
  <c r="G4" i="15" l="1"/>
  <c r="G13" i="15"/>
  <c r="G12" i="15"/>
  <c r="G11" i="15"/>
  <c r="G10" i="15"/>
  <c r="G9" i="15"/>
  <c r="G8" i="15"/>
  <c r="G7" i="15"/>
  <c r="G6" i="15"/>
  <c r="G5" i="15"/>
  <c r="G24" i="15" l="1"/>
  <c r="K18" i="16"/>
  <c r="K19" i="16"/>
  <c r="K20" i="16"/>
  <c r="K21" i="16"/>
  <c r="K22" i="16"/>
  <c r="K23" i="16"/>
  <c r="K24" i="16"/>
  <c r="K17" i="16"/>
  <c r="K7" i="16"/>
  <c r="K8" i="16"/>
  <c r="K9" i="16"/>
  <c r="K10" i="16"/>
  <c r="K11" i="16"/>
  <c r="K12" i="16"/>
  <c r="K13" i="16"/>
  <c r="K14" i="16"/>
  <c r="K15" i="16"/>
  <c r="K16" i="16"/>
  <c r="K6" i="16"/>
  <c r="H20" i="16" l="1"/>
  <c r="H21" i="16"/>
  <c r="H22" i="16"/>
  <c r="H23" i="16"/>
  <c r="H24" i="16"/>
  <c r="H19" i="16"/>
  <c r="H6" i="16"/>
  <c r="H7" i="16"/>
  <c r="H8" i="16"/>
  <c r="H9" i="16"/>
  <c r="H10" i="16"/>
  <c r="H11" i="16"/>
  <c r="H12" i="16"/>
  <c r="H13" i="16"/>
  <c r="H14" i="16"/>
  <c r="H15" i="16"/>
  <c r="H16" i="16"/>
  <c r="H17" i="16"/>
  <c r="H18" i="16"/>
  <c r="H5" i="16"/>
  <c r="K5" i="16" l="1"/>
  <c r="N4" i="16"/>
  <c r="M4" i="16"/>
  <c r="L4" i="16"/>
  <c r="L23" i="13" l="1"/>
  <c r="L22" i="13"/>
  <c r="L21" i="13"/>
  <c r="L20" i="13"/>
  <c r="L19" i="13"/>
  <c r="L18" i="13"/>
  <c r="L17" i="13"/>
  <c r="L16" i="13"/>
  <c r="L15" i="13"/>
  <c r="L14" i="13"/>
  <c r="L13" i="13"/>
  <c r="L12" i="13"/>
  <c r="L11" i="13"/>
  <c r="L10" i="13"/>
  <c r="L9" i="13"/>
  <c r="L8" i="13"/>
  <c r="L7" i="13"/>
  <c r="L6" i="13"/>
  <c r="L5" i="13"/>
  <c r="B9" i="16" l="1"/>
  <c r="L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5" i="14" s="1"/>
  <c r="E10" i="14"/>
  <c r="E11" i="14" s="1"/>
  <c r="E13" i="14" l="1"/>
  <c r="E29" i="14"/>
  <c r="E36" i="14"/>
  <c r="E45" i="14"/>
  <c r="E43" i="14"/>
  <c r="E46" i="14"/>
  <c r="AA19" i="13"/>
  <c r="AA20" i="13"/>
  <c r="AA21" i="13"/>
  <c r="AA22" i="13"/>
  <c r="AA23" i="13"/>
  <c r="AA12" i="13"/>
  <c r="AA13" i="13"/>
  <c r="AA14" i="13"/>
  <c r="AA15" i="13"/>
  <c r="AA16" i="13"/>
  <c r="AA17" i="13"/>
  <c r="AA18" i="13"/>
  <c r="AA5" i="13"/>
  <c r="AA6" i="13"/>
  <c r="AA7" i="13"/>
  <c r="AA8" i="13"/>
  <c r="AA9" i="13"/>
  <c r="AA10" i="13"/>
  <c r="AA11" i="13"/>
  <c r="X23" i="13" l="1"/>
  <c r="X19" i="13"/>
  <c r="X20" i="13"/>
  <c r="X21" i="13"/>
  <c r="X22" i="13"/>
  <c r="X14" i="13"/>
  <c r="X15" i="13"/>
  <c r="X16" i="13"/>
  <c r="X17" i="13"/>
  <c r="X18" i="13"/>
  <c r="X10" i="13"/>
  <c r="X11" i="13"/>
  <c r="X12" i="13"/>
  <c r="X13" i="13"/>
  <c r="X5" i="13"/>
  <c r="X6" i="13"/>
  <c r="X7" i="13"/>
  <c r="X8" i="13"/>
  <c r="X9" i="13"/>
  <c r="V23" i="13"/>
  <c r="V22" i="13"/>
  <c r="V20" i="13"/>
  <c r="V21" i="13"/>
  <c r="V19" i="13"/>
  <c r="V15" i="13"/>
  <c r="V16" i="13"/>
  <c r="V17" i="13"/>
  <c r="V18" i="13"/>
  <c r="V14" i="13"/>
  <c r="V10" i="13"/>
  <c r="V11" i="13"/>
  <c r="V12" i="13"/>
  <c r="V13" i="13"/>
  <c r="V9" i="13"/>
  <c r="V5" i="13"/>
  <c r="V6" i="13"/>
  <c r="V7" i="13"/>
  <c r="V8" i="13"/>
  <c r="T23" i="13"/>
  <c r="T21" i="13"/>
  <c r="T22" i="13"/>
  <c r="T19" i="13"/>
  <c r="T20" i="13"/>
  <c r="T17" i="13"/>
  <c r="T18" i="13"/>
  <c r="T15" i="13"/>
  <c r="T16" i="13"/>
  <c r="T13" i="13"/>
  <c r="T14" i="13"/>
  <c r="T11" i="13"/>
  <c r="T12" i="13"/>
  <c r="T9" i="13"/>
  <c r="T10" i="13"/>
  <c r="T7" i="13"/>
  <c r="T8" i="13"/>
  <c r="T5" i="13"/>
  <c r="T6" i="13"/>
  <c r="R21" i="13"/>
  <c r="N22" i="16" s="1"/>
  <c r="R22" i="13"/>
  <c r="N23" i="16" s="1"/>
  <c r="R23" i="13"/>
  <c r="N24"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N23" i="13" l="1"/>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23" i="13"/>
  <c r="M22" i="13"/>
  <c r="M21" i="13"/>
  <c r="M20" i="13"/>
  <c r="M19" i="13"/>
  <c r="M18" i="13"/>
  <c r="M17" i="13"/>
  <c r="M16" i="13"/>
  <c r="M15" i="13"/>
  <c r="M14" i="13"/>
  <c r="M13" i="13"/>
  <c r="M12" i="13"/>
  <c r="M11" i="13"/>
  <c r="M10" i="13"/>
  <c r="M9" i="13"/>
  <c r="M8" i="13"/>
  <c r="M7" i="13"/>
  <c r="M6" i="13"/>
  <c r="M5" i="13"/>
  <c r="M4" i="13"/>
  <c r="F23" i="13" l="1"/>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F7" i="12" l="1"/>
  <c r="E3" i="19" s="1"/>
  <c r="X121" i="12"/>
  <c r="W121" i="12"/>
  <c r="V121" i="12"/>
  <c r="U121" i="12"/>
  <c r="T121" i="12"/>
  <c r="S121" i="12"/>
  <c r="R121" i="12"/>
  <c r="Q121" i="12"/>
  <c r="P121" i="12"/>
  <c r="O121" i="12"/>
  <c r="N121" i="12"/>
  <c r="M121" i="12"/>
  <c r="L121" i="12"/>
  <c r="K121" i="12"/>
  <c r="J121" i="12"/>
  <c r="I121" i="12"/>
  <c r="H121" i="12"/>
  <c r="G121" i="12"/>
  <c r="F121" i="12"/>
  <c r="E121" i="12"/>
  <c r="X108" i="12"/>
  <c r="W108" i="12"/>
  <c r="V108" i="12"/>
  <c r="U108" i="12"/>
  <c r="T108" i="12"/>
  <c r="S108" i="12"/>
  <c r="R108" i="12"/>
  <c r="Q108" i="12"/>
  <c r="P108" i="12"/>
  <c r="O108" i="12"/>
  <c r="N108" i="12"/>
  <c r="M108" i="12"/>
  <c r="L108" i="12"/>
  <c r="K108" i="12"/>
  <c r="J108" i="12"/>
  <c r="I108" i="12"/>
  <c r="H108" i="12"/>
  <c r="G108" i="12"/>
  <c r="F108" i="12"/>
  <c r="E108" i="12"/>
  <c r="X95" i="12"/>
  <c r="W95" i="12"/>
  <c r="V95" i="12"/>
  <c r="U95" i="12"/>
  <c r="T95" i="12"/>
  <c r="S95" i="12"/>
  <c r="R95" i="12"/>
  <c r="Q95" i="12"/>
  <c r="P95" i="12"/>
  <c r="O95" i="12"/>
  <c r="N95" i="12"/>
  <c r="M95" i="12"/>
  <c r="L95" i="12"/>
  <c r="K95" i="12"/>
  <c r="J95" i="12"/>
  <c r="I95" i="12"/>
  <c r="H95" i="12"/>
  <c r="G95" i="12"/>
  <c r="F95" i="12"/>
  <c r="E95"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X81" i="12"/>
  <c r="W81" i="12"/>
  <c r="V81" i="12"/>
  <c r="U81" i="12"/>
  <c r="T81" i="12"/>
  <c r="S81" i="12"/>
  <c r="R81" i="12"/>
  <c r="Q81" i="12"/>
  <c r="P81" i="12"/>
  <c r="O81" i="12"/>
  <c r="N81" i="12"/>
  <c r="M81" i="12"/>
  <c r="L81" i="12"/>
  <c r="K81" i="12"/>
  <c r="J81" i="12"/>
  <c r="I81" i="12"/>
  <c r="H81" i="12"/>
  <c r="G81" i="12"/>
  <c r="F81" i="12"/>
  <c r="X71" i="12"/>
  <c r="W71" i="12"/>
  <c r="V71" i="12"/>
  <c r="U71" i="12"/>
  <c r="T71" i="12"/>
  <c r="S71" i="12"/>
  <c r="R71" i="12"/>
  <c r="Q71" i="12"/>
  <c r="P71" i="12"/>
  <c r="O71" i="12"/>
  <c r="N71" i="12"/>
  <c r="M71" i="12"/>
  <c r="L71" i="12"/>
  <c r="K71" i="12"/>
  <c r="J71" i="12"/>
  <c r="I71" i="12"/>
  <c r="H71" i="12"/>
  <c r="G71" i="12"/>
  <c r="F71" i="12"/>
  <c r="B5" i="13" l="1"/>
  <c r="D6" i="16" s="1"/>
  <c r="AB2" i="17"/>
  <c r="N131" i="12"/>
  <c r="Q14" i="16"/>
  <c r="P131" i="12"/>
  <c r="Q16" i="16"/>
  <c r="R131" i="12"/>
  <c r="Q18" i="16"/>
  <c r="T131" i="12"/>
  <c r="Q20" i="16"/>
  <c r="V131" i="12"/>
  <c r="Q22" i="16"/>
  <c r="X131" i="12"/>
  <c r="Q24" i="16"/>
  <c r="M131" i="12"/>
  <c r="Q13" i="16"/>
  <c r="O131" i="12"/>
  <c r="Q15" i="16"/>
  <c r="Q131" i="12"/>
  <c r="Q17" i="16"/>
  <c r="S131" i="12"/>
  <c r="Q19" i="16"/>
  <c r="U131" i="12"/>
  <c r="Q21" i="16"/>
  <c r="W131" i="12"/>
  <c r="Q23" i="16"/>
  <c r="G7" i="12"/>
  <c r="G131" i="12"/>
  <c r="I131" i="12"/>
  <c r="K131" i="12"/>
  <c r="F131" i="12"/>
  <c r="H131" i="12"/>
  <c r="J131" i="12"/>
  <c r="L131" i="12"/>
  <c r="F60" i="12"/>
  <c r="F62" i="12" s="1"/>
  <c r="H60" i="12"/>
  <c r="H62" i="12" s="1"/>
  <c r="J60" i="12"/>
  <c r="J62" i="12" s="1"/>
  <c r="L60" i="12"/>
  <c r="L62" i="12" s="1"/>
  <c r="N60" i="12"/>
  <c r="N62" i="12" s="1"/>
  <c r="P60" i="12"/>
  <c r="P62" i="12" s="1"/>
  <c r="R60" i="12"/>
  <c r="R62" i="12" s="1"/>
  <c r="T60" i="12"/>
  <c r="T62" i="12" s="1"/>
  <c r="V60" i="12"/>
  <c r="V62" i="12" s="1"/>
  <c r="X60" i="12"/>
  <c r="X62" i="12" s="1"/>
  <c r="E60" i="12"/>
  <c r="E62" i="12" s="1"/>
  <c r="E132" i="12" s="1"/>
  <c r="G60" i="12"/>
  <c r="G62" i="12" s="1"/>
  <c r="I60" i="12"/>
  <c r="I62" i="12" s="1"/>
  <c r="K60" i="12"/>
  <c r="K62" i="12" s="1"/>
  <c r="M60" i="12"/>
  <c r="M62" i="12" s="1"/>
  <c r="O60" i="12"/>
  <c r="O62" i="12" s="1"/>
  <c r="Q60" i="12"/>
  <c r="Q62" i="12" s="1"/>
  <c r="S60" i="12"/>
  <c r="S62" i="12" s="1"/>
  <c r="U60" i="12"/>
  <c r="U62" i="12" s="1"/>
  <c r="W60" i="12"/>
  <c r="W62" i="12" s="1"/>
  <c r="AC2" i="17" l="1"/>
  <c r="F3" i="19"/>
  <c r="P5" i="16"/>
  <c r="U132" i="12"/>
  <c r="P21" i="16"/>
  <c r="Q132" i="12"/>
  <c r="P17" i="16"/>
  <c r="M132" i="12"/>
  <c r="P13" i="16"/>
  <c r="I132" i="12"/>
  <c r="P9" i="16"/>
  <c r="V132" i="12"/>
  <c r="P22" i="16"/>
  <c r="R132" i="12"/>
  <c r="P18" i="16"/>
  <c r="N132" i="12"/>
  <c r="P14" i="16"/>
  <c r="J132" i="12"/>
  <c r="P10" i="16"/>
  <c r="F132" i="12"/>
  <c r="P6" i="16"/>
  <c r="W132" i="12"/>
  <c r="P23" i="16"/>
  <c r="S132" i="12"/>
  <c r="P19" i="16"/>
  <c r="O132" i="12"/>
  <c r="P15" i="16"/>
  <c r="K132" i="12"/>
  <c r="P11" i="16"/>
  <c r="G132" i="12"/>
  <c r="P7" i="16"/>
  <c r="X132" i="12"/>
  <c r="P24" i="16"/>
  <c r="T132" i="12"/>
  <c r="P20" i="16"/>
  <c r="P132" i="12"/>
  <c r="P16" i="16"/>
  <c r="L132" i="12"/>
  <c r="P12" i="16"/>
  <c r="H132" i="12"/>
  <c r="P8" i="16"/>
  <c r="H7" i="12"/>
  <c r="B6" i="13"/>
  <c r="D7" i="16" s="1"/>
  <c r="D24" i="15"/>
  <c r="C24" i="15" s="1"/>
  <c r="AD2" i="17" l="1"/>
  <c r="G3" i="19"/>
  <c r="B7" i="13"/>
  <c r="D8" i="16" s="1"/>
  <c r="I7" i="12"/>
  <c r="AE2" i="17" l="1"/>
  <c r="H3" i="19"/>
  <c r="J7" i="12"/>
  <c r="B8" i="13"/>
  <c r="D9" i="16" s="1"/>
  <c r="W20" i="13"/>
  <c r="W21" i="13"/>
  <c r="W22" i="13"/>
  <c r="W23" i="13"/>
  <c r="W15" i="13"/>
  <c r="W16" i="13"/>
  <c r="W17" i="13"/>
  <c r="W18" i="13"/>
  <c r="W19" i="13"/>
  <c r="W10" i="13"/>
  <c r="W11" i="13"/>
  <c r="W12" i="13"/>
  <c r="W13" i="13"/>
  <c r="W14" i="13"/>
  <c r="W5" i="13"/>
  <c r="W6" i="13"/>
  <c r="W7" i="13"/>
  <c r="W8" i="13"/>
  <c r="W9" i="13"/>
  <c r="AF2" i="17" l="1"/>
  <c r="I3" i="19"/>
  <c r="K7" i="12"/>
  <c r="B9" i="13"/>
  <c r="D10" i="16" s="1"/>
  <c r="K21" i="13"/>
  <c r="K22" i="13"/>
  <c r="K23" i="13"/>
  <c r="K12" i="13"/>
  <c r="K13" i="13"/>
  <c r="K14" i="13"/>
  <c r="K15" i="13"/>
  <c r="K16" i="13"/>
  <c r="K17" i="13"/>
  <c r="K18" i="13"/>
  <c r="K19" i="13"/>
  <c r="K20" i="13"/>
  <c r="K5" i="13"/>
  <c r="K6" i="13"/>
  <c r="K7" i="13"/>
  <c r="K8" i="13"/>
  <c r="K9" i="13"/>
  <c r="K10" i="13"/>
  <c r="K11" i="13"/>
  <c r="K4" i="13"/>
  <c r="J23" i="13"/>
  <c r="J17" i="13"/>
  <c r="J18" i="13"/>
  <c r="J19" i="13"/>
  <c r="J20" i="13"/>
  <c r="J21" i="13"/>
  <c r="J22" i="13"/>
  <c r="J11" i="13"/>
  <c r="J12" i="13"/>
  <c r="J13" i="13"/>
  <c r="J14" i="13"/>
  <c r="J15" i="13"/>
  <c r="J16" i="13"/>
  <c r="J5" i="13"/>
  <c r="J6" i="13"/>
  <c r="J7" i="13"/>
  <c r="J8" i="13"/>
  <c r="J9" i="13"/>
  <c r="J10" i="13"/>
  <c r="J4" i="13"/>
  <c r="I18" i="13"/>
  <c r="I19" i="13"/>
  <c r="I20" i="13"/>
  <c r="I21" i="13"/>
  <c r="I22" i="13"/>
  <c r="I23" i="13"/>
  <c r="I11" i="13"/>
  <c r="I12" i="13"/>
  <c r="I13" i="13"/>
  <c r="I14" i="13"/>
  <c r="I15" i="13"/>
  <c r="I16" i="13"/>
  <c r="I17" i="13"/>
  <c r="I5" i="13"/>
  <c r="I6" i="13"/>
  <c r="I7" i="13"/>
  <c r="I8" i="13"/>
  <c r="I9" i="13"/>
  <c r="I10" i="13"/>
  <c r="I4" i="13"/>
  <c r="H20" i="13"/>
  <c r="H21" i="13"/>
  <c r="H22" i="13"/>
  <c r="H23" i="13"/>
  <c r="H15" i="13"/>
  <c r="H16" i="13"/>
  <c r="H17" i="13"/>
  <c r="H18" i="13"/>
  <c r="H19" i="13"/>
  <c r="H10" i="13"/>
  <c r="H11" i="13"/>
  <c r="H12" i="13"/>
  <c r="H13" i="13"/>
  <c r="H14" i="13"/>
  <c r="H5" i="13"/>
  <c r="H6" i="13"/>
  <c r="H7" i="13"/>
  <c r="H8" i="13"/>
  <c r="H9" i="13"/>
  <c r="H4" i="13"/>
  <c r="G20" i="13"/>
  <c r="G21" i="13"/>
  <c r="G22" i="13"/>
  <c r="G23" i="13"/>
  <c r="G15" i="13"/>
  <c r="G16" i="13"/>
  <c r="G17" i="13"/>
  <c r="G18" i="13"/>
  <c r="G19" i="13"/>
  <c r="G10" i="13"/>
  <c r="G11" i="13"/>
  <c r="G12" i="13"/>
  <c r="G13" i="13"/>
  <c r="G14" i="13"/>
  <c r="G5" i="13"/>
  <c r="G6" i="13"/>
  <c r="G7" i="13"/>
  <c r="G8" i="13"/>
  <c r="G9" i="13"/>
  <c r="G4" i="13"/>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G7" i="16"/>
  <c r="G6" i="16"/>
  <c r="G5" i="16"/>
  <c r="L7" i="12"/>
  <c r="B10" i="13"/>
  <c r="D11" i="16" s="1"/>
  <c r="AH2" i="17" l="1"/>
  <c r="K3" i="19"/>
  <c r="M7" i="12"/>
  <c r="B11" i="13"/>
  <c r="D12" i="16" s="1"/>
  <c r="AI2" i="17" l="1"/>
  <c r="L3" i="19"/>
  <c r="N7" i="12"/>
  <c r="B12" i="13"/>
  <c r="D13" i="16" s="1"/>
  <c r="AJ2" i="17" l="1"/>
  <c r="M3" i="19"/>
  <c r="O7" i="12"/>
  <c r="B13" i="13"/>
  <c r="D14" i="16" s="1"/>
  <c r="AK2" i="17" l="1"/>
  <c r="N3" i="19"/>
  <c r="P7" i="12"/>
  <c r="B14" i="13"/>
  <c r="D15" i="16" s="1"/>
  <c r="E24" i="12"/>
  <c r="AL2" i="17" l="1"/>
  <c r="O3" i="19"/>
  <c r="Q7" i="12"/>
  <c r="B15" i="13"/>
  <c r="D16" i="16" s="1"/>
  <c r="F24" i="12"/>
  <c r="G24" i="12"/>
  <c r="H24" i="12"/>
  <c r="I24" i="12"/>
  <c r="J24" i="12"/>
  <c r="K24" i="12"/>
  <c r="L24" i="12"/>
  <c r="M24" i="12"/>
  <c r="N24" i="12"/>
  <c r="O24" i="12"/>
  <c r="H27" i="12"/>
  <c r="AM2" i="17" l="1"/>
  <c r="P3" i="19"/>
  <c r="R7" i="12"/>
  <c r="B16" i="13"/>
  <c r="D17" i="16" s="1"/>
  <c r="N25" i="12"/>
  <c r="AN2" i="17" l="1"/>
  <c r="Q3" i="19"/>
  <c r="S7" i="12"/>
  <c r="B17" i="13"/>
  <c r="D18" i="16" s="1"/>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T7" i="12"/>
  <c r="B18" i="13"/>
  <c r="D19" i="16" s="1"/>
  <c r="E27" i="12"/>
  <c r="AP2" i="17" l="1"/>
  <c r="S3" i="19"/>
  <c r="U7" i="12"/>
  <c r="B19" i="13"/>
  <c r="D20" i="16" s="1"/>
  <c r="F27" i="12"/>
  <c r="G27" i="12"/>
  <c r="I27" i="12"/>
  <c r="J27" i="12"/>
  <c r="K27" i="12"/>
  <c r="L27" i="12"/>
  <c r="F25" i="12"/>
  <c r="G25" i="12"/>
  <c r="H25" i="12"/>
  <c r="I25" i="12"/>
  <c r="J25" i="12"/>
  <c r="K25" i="12"/>
  <c r="L25" i="12"/>
  <c r="AQ2" i="17" l="1"/>
  <c r="T3" i="19"/>
  <c r="V7" i="12"/>
  <c r="B20" i="13"/>
  <c r="D21" i="16" s="1"/>
  <c r="AR2" i="17" l="1"/>
  <c r="U3" i="19"/>
  <c r="W7" i="12"/>
  <c r="B21" i="13"/>
  <c r="D22" i="16" s="1"/>
  <c r="AS2" i="17" l="1"/>
  <c r="V3" i="19"/>
  <c r="X7" i="12"/>
  <c r="B22" i="13"/>
  <c r="D23" i="16" s="1"/>
  <c r="AT2" i="17" l="1"/>
  <c r="W3" i="19"/>
  <c r="B23" i="13"/>
  <c r="D24" i="16" s="1"/>
  <c r="E17" i="14" l="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<sst xmlns="http://schemas.openxmlformats.org/spreadsheetml/2006/main" count="1256" uniqueCount="563">
  <si>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</si>
  <si>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</si>
  <si>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</si>
  <si>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</si>
  <si>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</si>
  <si>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</si>
  <si>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</si>
  <si>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</si>
  <si>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</si>
  <si>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</si>
  <si>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</si>
  <si>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</si>
  <si>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</si>
  <si>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</si>
  <si>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</si>
  <si>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</si>
  <si>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</si>
  <si>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</si>
  <si>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</si>
  <si>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</si>
  <si>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</si>
  <si>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</si>
  <si>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</si>
  <si>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</si>
  <si>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</si>
  <si>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</si>
  <si>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</si>
  <si>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</si>
  <si>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</si>
  <si>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</si>
  <si>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</si>
  <si>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</si>
  <si>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</si>
  <si>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</si>
  <si>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</si>
  <si>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</si>
  <si>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</si>
  <si>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</si>
  <si>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</si>
  <si>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</si>
  <si>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</si>
  <si>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</si>
  <si>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</si>
  <si>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</si>
  <si>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</si>
  <si>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</si>
  <si>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</si>
  <si>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</si>
  <si>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</si>
  <si>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</si>
  <si>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</si>
  <si>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</si>
  <si>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</si>
  <si>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</si>
  <si>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</si>
  <si>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</si>
  <si>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</si>
  <si>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</si>
  <si>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</si>
  <si>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</si>
  <si>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</si>
  <si>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</si>
  <si>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</si>
  <si>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</si>
  <si>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</si>
  <si>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</si>
  <si>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</si>
  <si>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</si>
  <si>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</si>
  <si>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</si>
  <si>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</si>
  <si>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</si>
  <si>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</si>
  <si>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</si>
  <si>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</si>
  <si>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</si>
  <si>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</si>
  <si>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</si>
  <si>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</si>
  <si>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</si>
  <si>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</si>
  <si>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</si>
  <si>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</si>
  <si>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</si>
  <si>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</si>
  <si>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</si>
  <si>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</si>
  <si>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</si>
  <si>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</si>
  <si>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</si>
  <si>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</si>
  <si>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</si>
  <si>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</si>
  <si>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</si>
  <si>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</si>
  <si>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</si>
  <si>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</si>
  <si>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</si>
  <si>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</si>
  <si>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</si>
  <si>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</si>
  <si>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</si>
  <si>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</si>
  <si>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</si>
  <si>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</si>
  <si>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</si>
  <si>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</si>
  <si>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</si>
  <si>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</si>
  <si>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</si>
  <si>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</si>
  <si>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</si>
  <si>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</si>
  <si>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</si>
  <si>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</si>
  <si>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</si>
  <si>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</si>
  <si>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</si>
  <si>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</si>
  <si>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</si>
  <si>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</si>
  <si>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</si>
  <si>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</si>
  <si>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</si>
  <si>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</si>
  <si>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</si>
  <si>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</si>
  <si>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</si>
  <si>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</si>
  <si>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</si>
  <si>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</si>
  <si>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</si>
  <si>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</si>
  <si>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</si>
  <si>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</si>
  <si>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</si>
  <si>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</si>
  <si>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</si>
  <si>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</si>
  <si>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</si>
  <si>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</si>
  <si>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</si>
  <si>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</si>
  <si>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</si>
  <si>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</si>
  <si>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</si>
  <si>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</si>
  <si>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</si>
  <si>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</si>
  <si>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</si>
  <si>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</si>
  <si>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</si>
  <si>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</si>
  <si>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</si>
  <si>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</si>
  <si>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</si>
  <si>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</si>
  <si>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</si>
  <si>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</si>
  <si>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</si>
  <si>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</si>
  <si>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</si>
  <si>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</si>
  <si>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</si>
  <si>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</si>
  <si>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</si>
  <si>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</si>
  <si>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</si>
  <si>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</si>
  <si>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</si>
  <si>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</si>
  <si>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</si>
  <si>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</si>
  <si>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</si>
  <si>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</si>
  <si>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</si>
  <si>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</si>
  <si>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</si>
  <si>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</si>
  <si>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</si>
  <si>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</si>
  <si>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</si>
  <si>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</si>
  <si>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</si>
  <si>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</si>
  <si>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</si>
  <si>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</si>
  <si>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</si>
  <si>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</si>
  <si>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</si>
  <si>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</si>
  <si>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</si>
  <si>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</si>
  <si>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</si>
  <si>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</si>
  <si>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</si>
  <si>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</si>
  <si>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</si>
  <si>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</si>
  <si>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</si>
  <si>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</si>
  <si>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</si>
  <si>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</si>
  <si>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</si>
  <si>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</si>
  <si>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</si>
  <si>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</si>
  <si>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</si>
  <si>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</si>
  <si>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</si>
  <si>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</si>
  <si>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</si>
  <si>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</si>
  <si>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</si>
  <si>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</si>
  <si>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</si>
  <si>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</si>
  <si>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</si>
  <si>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</si>
  <si>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</si>
  <si>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</si>
  <si>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</si>
  <si>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</si>
  <si>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</si>
  <si>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</si>
  <si>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</si>
  <si>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</si>
  <si>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</si>
  <si>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</si>
  <si>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</si>
  <si>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</si>
  <si>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</si>
  <si>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</si>
  <si>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</si>
  <si>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</si>
  <si>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</si>
  <si>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</si>
  <si>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</si>
  <si>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</si>
  <si>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</si>
  <si>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</si>
  <si>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</si>
  <si>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</si>
  <si>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</si>
  <si>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</si>
  <si>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</si>
  <si>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</si>
  <si>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</si>
  <si>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</si>
  <si>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</si>
  <si>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</si>
  <si>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</si>
  <si>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</si>
  <si>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</si>
  <si>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</si>
  <si>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</si>
  <si>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</si>
  <si>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</si>
  <si>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</si>
  <si>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</si>
  <si>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</si>
  <si>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</si>
  <si>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</si>
  <si>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</si>
  <si>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</si>
  <si>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</si>
  <si>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</si>
  <si>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</si>
  <si>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</si>
  <si>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</si>
  <si>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</si>
  <si>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</si>
  <si>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</si>
  <si>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</si>
  <si>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</si>
  <si>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</si>
  <si>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</si>
  <si>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</si>
  <si>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</si>
  <si>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</si>
  <si>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</si>
  <si>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</si>
  <si>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</si>
  <si>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</si>
  <si>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</si>
  <si>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</si>
  <si>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</si>
  <si>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</si>
  <si>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</si>
  <si>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</si>
  <si>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</si>
  <si>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</si>
  <si>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</si>
  <si>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</si>
  <si>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</si>
  <si>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</si>
  <si>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</si>
  <si>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</si>
  <si>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</si>
  <si>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</si>
  <si>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</si>
  <si>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</si>
  <si>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</si>
  <si>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</si>
  <si>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</si>
  <si>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</si>
  <si>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</si>
  <si>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</si>
  <si>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</si>
  <si>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</si>
  <si>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</si>
  <si>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</si>
  <si>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</si>
  <si>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</si>
  <si>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</si>
  <si>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</si>
  <si>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</si>
  <si>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</si>
  <si>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</si>
  <si>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</si>
  <si>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</si>
  <si>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</si>
  <si>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</si>
  <si>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</si>
  <si>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</si>
  <si>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</si>
  <si>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</si>
  <si>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</si>
  <si>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</si>
  <si>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</si>
  <si>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</si>
  <si>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</si>
  <si>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</si>
  <si>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</si>
  <si>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</si>
  <si>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</si>
  <si>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</si>
  <si>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</si>
  <si>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</si>
  <si>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</si>
  <si>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</si>
  <si>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</si>
  <si>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</si>
  <si>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</si>
  <si>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</si>
  <si>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</si>
  <si>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</si>
  <si>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</si>
  <si>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</si>
  <si>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</si>
  <si>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</si>
  <si>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</si>
  <si>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</si>
  <si>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</si>
  <si>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</si>
  <si>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</si>
  <si>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</si>
  <si>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</si>
  <si>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</si>
  <si>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</si>
  <si>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</si>
  <si>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</si>
  <si>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</si>
  <si>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</si>
  <si>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</si>
  <si>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</si>
  <si>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</si>
  <si>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</si>
  <si>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</si>
  <si>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</si>
  <si>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</si>
  <si>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</si>
  <si>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</si>
  <si>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</si>
  <si>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</si>
  <si>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</si>
  <si>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</si>
  <si>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</si>
  <si>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</si>
  <si>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</si>
  <si>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</si>
  <si>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</si>
  <si>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</si>
  <si>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</si>
  <si>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</si>
  <si>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</si>
  <si>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</si>
  <si>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</si>
  <si>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</si>
  <si>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</si>
  <si>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</si>
  <si>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</si>
  <si>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</si>
  <si>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</si>
  <si>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</si>
  <si>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</si>
  <si>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</si>
  <si>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</si>
  <si>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</si>
  <si>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</si>
  <si>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</si>
  <si>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</si>
  <si>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</si>
  <si>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</si>
  <si>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</si>
  <si>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</si>
  <si>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</si>
  <si>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</si>
  <si>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</si>
  <si>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</si>
  <si>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</si>
  <si>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</si>
  <si>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</si>
  <si>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</si>
  <si>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</si>
  <si>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</si>
  <si>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</si>
  <si>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</si>
  <si>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</si>
  <si>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</si>
  <si>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</si>
  <si>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</si>
  <si>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</si>
  <si>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</si>
  <si>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</si>
  <si>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</si>
  <si>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</si>
  <si>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</si>
  <si>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</si>
  <si>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</si>
  <si>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</si>
  <si>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</si>
  <si>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</si>
  <si>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</si>
  <si>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</si>
  <si>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</si>
  <si>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1395/04/31</t>
  </si>
  <si>
    <t>کردستان</t>
  </si>
  <si>
    <t>سنندج</t>
  </si>
  <si>
    <t>دادانه</t>
  </si>
  <si>
    <t>زندان</t>
  </si>
  <si>
    <t>گندمان</t>
  </si>
  <si>
    <t>نوره</t>
  </si>
  <si>
    <t>كاني بل</t>
  </si>
  <si>
    <t>ئالا</t>
  </si>
  <si>
    <t>باران</t>
  </si>
  <si>
    <t>سربرزي</t>
  </si>
  <si>
    <t>روژان</t>
  </si>
  <si>
    <t>شقايق</t>
  </si>
  <si>
    <t>آگرين</t>
  </si>
  <si>
    <t>هاوين</t>
  </si>
  <si>
    <t>تريفه</t>
  </si>
  <si>
    <t>كوچكه سور</t>
  </si>
  <si>
    <t>كاني ده</t>
  </si>
  <si>
    <t>ئاويه‌ر</t>
  </si>
  <si>
    <t>سدنا</t>
  </si>
  <si>
    <t>فرزین امانی</t>
  </si>
  <si>
    <t>انجمن بانوان به بان</t>
  </si>
  <si>
    <t>فلوریا محمدپور</t>
  </si>
  <si>
    <t>مهتاب جامه ساز</t>
  </si>
  <si>
    <t>1394/11/06</t>
  </si>
  <si>
    <t>1394/05/21</t>
  </si>
  <si>
    <t>1394/04/31</t>
  </si>
  <si>
    <t>1394/04/23</t>
  </si>
  <si>
    <t>1395/01/28</t>
  </si>
  <si>
    <t>1395/02/26</t>
  </si>
  <si>
    <t>1395/03/31</t>
  </si>
  <si>
    <t>1395/05/04</t>
  </si>
  <si>
    <t>فعال</t>
  </si>
  <si>
    <t>75630775-9</t>
  </si>
  <si>
    <t>74948494-4</t>
  </si>
  <si>
    <t>پ 9</t>
  </si>
  <si>
    <t>ت 2</t>
  </si>
  <si>
    <t>پ 11</t>
  </si>
  <si>
    <t>پ11</t>
  </si>
  <si>
    <t>پ 5</t>
  </si>
  <si>
    <t>ب 7</t>
  </si>
  <si>
    <t>پ5</t>
  </si>
  <si>
    <t>فريبا زماني دادانه</t>
  </si>
  <si>
    <t>حفصه زماني دادانه</t>
  </si>
  <si>
    <t>رويا مشايخي نيا</t>
  </si>
  <si>
    <t>سيران خسروي</t>
  </si>
  <si>
    <t>ندا فلاح</t>
  </si>
  <si>
    <t>مهتاب گويلي</t>
  </si>
  <si>
    <t>ريزان احمدي</t>
  </si>
  <si>
    <t>فاطمه حبيبي</t>
  </si>
  <si>
    <t>آمنه زماني</t>
  </si>
  <si>
    <t>سهيلا بهمني</t>
  </si>
  <si>
    <t>نرگس زماني</t>
  </si>
  <si>
    <t>فهيمه زماني</t>
  </si>
  <si>
    <t>سرگل عبدالهي</t>
  </si>
  <si>
    <t>كلثومه زماني دادانه</t>
  </si>
  <si>
    <t>هانيه زماني دادانه</t>
  </si>
  <si>
    <t>چنور محمدي</t>
  </si>
  <si>
    <t>بهار خسروي</t>
  </si>
  <si>
    <t>نگار فلاح</t>
  </si>
  <si>
    <t>سروه حيدري</t>
  </si>
  <si>
    <t>شهلا صراحي</t>
  </si>
  <si>
    <t>سيران محمدي</t>
  </si>
  <si>
    <t>پرستو زماني</t>
  </si>
  <si>
    <t>فريبا قاسمي</t>
  </si>
  <si>
    <t>ناديا زماني</t>
  </si>
  <si>
    <t>فرخنده زماني</t>
  </si>
  <si>
    <t>هايده محمدي</t>
  </si>
  <si>
    <t>گلنما زماني دادانه</t>
  </si>
  <si>
    <t>شبنم زماني دادانه</t>
  </si>
  <si>
    <t>سهيلا زماني</t>
  </si>
  <si>
    <t>چنور قادري</t>
  </si>
  <si>
    <t>روژين حيدري</t>
  </si>
  <si>
    <t>پريسا گويلي</t>
  </si>
  <si>
    <t>كلثومه مجيدي</t>
  </si>
  <si>
    <t>پرستو احمدي</t>
  </si>
  <si>
    <t>فروزان زماني</t>
  </si>
  <si>
    <t>سميه الماسي</t>
  </si>
  <si>
    <t>زيبا زماني</t>
  </si>
  <si>
    <t>گلچهره زماني</t>
  </si>
  <si>
    <t>مرواريد زماني</t>
  </si>
  <si>
    <t>2+</t>
  </si>
  <si>
    <t>4+</t>
  </si>
  <si>
    <t>قوی</t>
  </si>
  <si>
    <t>متوسط</t>
  </si>
  <si>
    <t>ضعیف</t>
  </si>
  <si>
    <t>کم</t>
  </si>
  <si>
    <t>ندارد</t>
  </si>
  <si>
    <t>تشکیل نشده</t>
  </si>
  <si>
    <t>ماهانه</t>
  </si>
  <si>
    <t>مرتب</t>
  </si>
  <si>
    <t>دارد</t>
  </si>
  <si>
    <t>انجام شده</t>
  </si>
  <si>
    <t>انجام نشده</t>
  </si>
  <si>
    <t>بی نقص</t>
  </si>
  <si>
    <t>دارای اشتباه کم</t>
  </si>
  <si>
    <t>اشتباه زیاد</t>
  </si>
  <si>
    <t>1395/02/13</t>
  </si>
  <si>
    <t>1394/10/13</t>
  </si>
  <si>
    <t>1395/04/14</t>
  </si>
  <si>
    <t>1395/04/26</t>
  </si>
  <si>
    <t>1395/04/13</t>
  </si>
  <si>
    <t>چنو</t>
  </si>
  <si>
    <t>هورام</t>
  </si>
  <si>
    <t>حیران محمدی</t>
  </si>
  <si>
    <t>ثریا برزنجه</t>
  </si>
  <si>
    <t>کتان وفایی</t>
  </si>
  <si>
    <t>رزا بیگلری</t>
  </si>
  <si>
    <t>آویهنگ</t>
  </si>
  <si>
    <t>دریافت وام بانکی</t>
  </si>
  <si>
    <t>انقلاب</t>
  </si>
  <si>
    <t>شعبه</t>
  </si>
  <si>
    <t>شویشه</t>
  </si>
  <si>
    <t>1394/07/07</t>
  </si>
  <si>
    <t>1395/03/28</t>
  </si>
  <si>
    <t>1395/02/29</t>
  </si>
  <si>
    <t>1394/10/22</t>
  </si>
  <si>
    <t>1395/02/23</t>
  </si>
  <si>
    <t>تعداد بانک پذیر</t>
  </si>
  <si>
    <t>مانده پرداخت وام اول</t>
  </si>
  <si>
    <t>کل مبلغ پرداختی</t>
  </si>
  <si>
    <t>تعداد دریافت کننده وام اول</t>
  </si>
  <si>
    <t>تعداد دریافت کننده وام دوم</t>
  </si>
  <si>
    <t>تعداد دریافت کننده وام سوم</t>
  </si>
  <si>
    <t>تعداد دریافت کننده وام چهارم</t>
  </si>
  <si>
    <t>خیابان حسن اباد</t>
  </si>
  <si>
    <t>روستا حسن اباد</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</si>
</sst>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675">
    <xf numFmtId="0" fontId="0" fillId="0" borderId="0" xfId="0"/>
    <xf numFmtId="3" fontId="5" fillId="9" borderId="11"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1" xfId="0" applyNumberFormat="1" applyFont="1" applyFill="1" applyBorder="1" applyAlignment="1" applyProtection="1">
      <alignment horizontal="justify" vertical="center" wrapText="1" readingOrder="2"/>
    </xf>
    <xf numFmtId="3" fontId="9" fillId="5" borderId="4" xfId="0" applyNumberFormat="1" applyFont="1" applyFill="1" applyBorder="1" applyAlignment="1" applyProtection="1">
      <alignment horizontal="center" vertical="center" wrapText="1" readingOrder="2"/>
      <protection locked="0"/>
    </xf>
    <xf numFmtId="3" fontId="9" fillId="5" borderId="11" xfId="0" applyNumberFormat="1" applyFont="1" applyFill="1" applyBorder="1" applyAlignment="1" applyProtection="1">
      <alignment horizontal="center" vertical="center" wrapText="1" readingOrder="2"/>
      <protection locked="0"/>
    </xf>
    <xf numFmtId="3" fontId="7" fillId="4" borderId="11" xfId="0" applyNumberFormat="1" applyFont="1" applyFill="1" applyBorder="1" applyAlignment="1" applyProtection="1">
      <alignment horizontal="justify" vertical="center" wrapText="1" readingOrder="2"/>
    </xf>
    <xf numFmtId="3" fontId="5" fillId="4" borderId="4"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justify" vertical="center" wrapText="1" readingOrder="2"/>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1" xfId="0" applyNumberFormat="1" applyFont="1" applyFill="1" applyBorder="1" applyAlignment="1" applyProtection="1">
      <alignment horizontal="justify" vertical="center" wrapText="1" readingOrder="2"/>
    </xf>
    <xf numFmtId="1" fontId="5" fillId="4" borderId="4"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1"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49" fontId="15" fillId="8" borderId="11" xfId="0" applyNumberFormat="1" applyFont="1" applyFill="1" applyBorder="1" applyAlignment="1" applyProtection="1">
      <alignment horizontal="center" vertical="center" wrapText="1" readingOrder="2"/>
      <protection locked="0"/>
    </xf>
    <xf numFmtId="1" fontId="16" fillId="8" borderId="11" xfId="0" applyNumberFormat="1" applyFont="1" applyFill="1" applyBorder="1" applyAlignment="1" applyProtection="1">
      <alignment horizontal="center" vertical="center" wrapText="1" readingOrder="1"/>
    </xf>
    <xf numFmtId="3" fontId="15" fillId="10" borderId="11" xfId="0" applyNumberFormat="1" applyFont="1" applyFill="1" applyBorder="1" applyAlignment="1" applyProtection="1">
      <alignment horizontal="center" vertical="center" wrapText="1" readingOrder="2"/>
      <protection locked="0"/>
    </xf>
    <xf numFmtId="3" fontId="15" fillId="10" borderId="10"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3"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0" xfId="0" applyNumberFormat="1" applyFont="1" applyFill="1" applyBorder="1" applyAlignment="1">
      <alignment horizontal="center" vertical="center" wrapText="1" readingOrder="2"/>
    </xf>
    <xf numFmtId="3" fontId="22" fillId="13" borderId="31" xfId="0" applyNumberFormat="1" applyFont="1" applyFill="1" applyBorder="1" applyAlignment="1">
      <alignment horizontal="center" vertical="center" wrapText="1" readingOrder="2"/>
    </xf>
    <xf numFmtId="3" fontId="22" fillId="13" borderId="53" xfId="0" applyNumberFormat="1" applyFont="1" applyFill="1" applyBorder="1" applyAlignment="1">
      <alignment horizontal="center" vertical="center" wrapText="1" readingOrder="2"/>
    </xf>
    <xf numFmtId="3" fontId="22" fillId="14" borderId="47" xfId="0" applyNumberFormat="1" applyFont="1" applyFill="1" applyBorder="1" applyAlignment="1">
      <alignment horizontal="center" vertical="center" wrapText="1" readingOrder="2"/>
    </xf>
    <xf numFmtId="3" fontId="22" fillId="14" borderId="31" xfId="0" applyNumberFormat="1" applyFont="1" applyFill="1" applyBorder="1" applyAlignment="1">
      <alignment horizontal="center" vertical="center" wrapText="1" readingOrder="2"/>
    </xf>
    <xf numFmtId="0" fontId="22" fillId="15" borderId="30" xfId="0"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7" xfId="0" applyFont="1" applyFill="1" applyBorder="1" applyAlignment="1">
      <alignment horizontal="center" vertical="center" wrapText="1" readingOrder="2"/>
    </xf>
    <xf numFmtId="3" fontId="22" fillId="16" borderId="30"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0" xfId="0" applyFont="1" applyFill="1" applyBorder="1" applyAlignment="1">
      <alignment horizontal="center" vertical="center" wrapText="1" readingOrder="2"/>
    </xf>
    <xf numFmtId="0" fontId="24" fillId="16" borderId="53" xfId="0" applyFont="1" applyFill="1" applyBorder="1" applyAlignment="1">
      <alignment horizontal="center" vertical="center" wrapText="1" readingOrder="2"/>
    </xf>
    <xf numFmtId="0" fontId="24" fillId="7" borderId="30"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7" xfId="0" applyFont="1" applyFill="1" applyBorder="1" applyAlignment="1">
      <alignment horizontal="center" vertical="center" wrapText="1" readingOrder="2"/>
    </xf>
    <xf numFmtId="0" fontId="24" fillId="17" borderId="30"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2" fillId="17" borderId="31" xfId="0" applyFont="1" applyFill="1" applyBorder="1" applyAlignment="1">
      <alignment horizontal="center" vertical="center" wrapText="1" readingOrder="2"/>
    </xf>
    <xf numFmtId="0" fontId="24" fillId="17" borderId="53"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22"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4" xfId="0" applyFont="1" applyFill="1" applyBorder="1" applyAlignment="1">
      <alignment horizontal="center" vertical="center"/>
    </xf>
    <xf numFmtId="0" fontId="5" fillId="19" borderId="42"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56" xfId="0" applyFont="1" applyFill="1" applyBorder="1" applyAlignment="1">
      <alignment horizontal="center" vertical="center"/>
    </xf>
    <xf numFmtId="0" fontId="5" fillId="6" borderId="27" xfId="0" applyFont="1" applyFill="1" applyBorder="1" applyAlignment="1">
      <alignment horizontal="center" vertical="center"/>
    </xf>
    <xf numFmtId="3" fontId="7" fillId="6" borderId="34" xfId="0" applyNumberFormat="1" applyFont="1" applyFill="1" applyBorder="1" applyAlignment="1">
      <alignment horizontal="center" vertical="center"/>
    </xf>
    <xf numFmtId="0" fontId="7" fillId="19" borderId="36"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55" xfId="0" applyFont="1" applyFill="1" applyBorder="1" applyAlignment="1">
      <alignment horizontal="center" vertical="center"/>
    </xf>
    <xf numFmtId="3" fontId="6" fillId="0" borderId="0" xfId="0" applyNumberFormat="1" applyFont="1" applyAlignment="1">
      <alignment horizontal="center" vertical="center"/>
    </xf>
    <xf numFmtId="3" fontId="29" fillId="21" borderId="26" xfId="0" applyNumberFormat="1" applyFont="1" applyFill="1" applyBorder="1" applyAlignment="1">
      <alignment horizontal="center" vertical="center" wrapText="1" readingOrder="2"/>
    </xf>
    <xf numFmtId="3" fontId="29" fillId="21" borderId="55" xfId="0" applyNumberFormat="1" applyFont="1" applyFill="1" applyBorder="1" applyAlignment="1">
      <alignment horizontal="center" vertical="center" wrapText="1" readingOrder="2"/>
    </xf>
    <xf numFmtId="3" fontId="28" fillId="21" borderId="55" xfId="0" applyNumberFormat="1" applyFont="1" applyFill="1" applyBorder="1" applyAlignment="1">
      <alignment horizontal="center" vertical="center" textRotation="90" wrapText="1" readingOrder="2"/>
    </xf>
    <xf numFmtId="3" fontId="27" fillId="21" borderId="27" xfId="0" applyNumberFormat="1" applyFont="1" applyFill="1" applyBorder="1" applyAlignment="1">
      <alignment horizontal="center" vertical="center" wrapText="1"/>
    </xf>
    <xf numFmtId="3" fontId="30" fillId="21" borderId="22" xfId="0" applyNumberFormat="1" applyFont="1" applyFill="1" applyBorder="1" applyAlignment="1">
      <alignment horizontal="center" vertical="center" wrapText="1" readingOrder="2"/>
    </xf>
    <xf numFmtId="3" fontId="32" fillId="21" borderId="22" xfId="0" applyNumberFormat="1" applyFont="1" applyFill="1" applyBorder="1" applyAlignment="1">
      <alignment horizontal="center" vertical="center" wrapText="1"/>
    </xf>
    <xf numFmtId="3" fontId="27" fillId="21" borderId="28" xfId="0" applyNumberFormat="1" applyFont="1" applyFill="1" applyBorder="1" applyAlignment="1">
      <alignment horizontal="center" vertical="center" wrapText="1"/>
    </xf>
    <xf numFmtId="3" fontId="30" fillId="21" borderId="33" xfId="0" applyNumberFormat="1" applyFont="1" applyFill="1" applyBorder="1" applyAlignment="1">
      <alignment horizontal="center" vertical="center" wrapText="1" readingOrder="2"/>
    </xf>
    <xf numFmtId="3" fontId="28" fillId="20" borderId="32" xfId="0" applyNumberFormat="1" applyFont="1" applyFill="1" applyBorder="1" applyAlignment="1">
      <alignment horizontal="center" vertical="center" wrapText="1"/>
    </xf>
    <xf numFmtId="3" fontId="20" fillId="20" borderId="64" xfId="0" applyNumberFormat="1" applyFont="1" applyFill="1" applyBorder="1" applyAlignment="1">
      <alignment horizontal="center" vertical="center" wrapText="1"/>
    </xf>
    <xf numFmtId="3" fontId="24" fillId="20" borderId="35" xfId="0" applyNumberFormat="1" applyFont="1" applyFill="1" applyBorder="1" applyAlignment="1">
      <alignment horizontal="center" vertical="center" wrapText="1"/>
    </xf>
    <xf numFmtId="3" fontId="28" fillId="21" borderId="57" xfId="0" applyNumberFormat="1" applyFont="1" applyFill="1" applyBorder="1" applyAlignment="1">
      <alignment horizontal="center" vertical="center" textRotation="90" wrapText="1" readingOrder="2"/>
    </xf>
    <xf numFmtId="3" fontId="28" fillId="21" borderId="59" xfId="0" applyNumberFormat="1" applyFont="1" applyFill="1" applyBorder="1" applyAlignment="1">
      <alignment horizontal="center" vertical="center" textRotation="90" wrapText="1" readingOrder="2"/>
    </xf>
    <xf numFmtId="3" fontId="32" fillId="21" borderId="32" xfId="0" applyNumberFormat="1" applyFont="1" applyFill="1" applyBorder="1" applyAlignment="1">
      <alignment horizontal="center" vertical="center" wrapText="1"/>
    </xf>
    <xf numFmtId="3" fontId="33" fillId="21" borderId="47" xfId="0" applyNumberFormat="1" applyFont="1" applyFill="1" applyBorder="1" applyAlignment="1">
      <alignment horizontal="center" vertical="center" wrapText="1"/>
    </xf>
    <xf numFmtId="3" fontId="28" fillId="21" borderId="30" xfId="0" applyNumberFormat="1" applyFont="1" applyFill="1" applyBorder="1" applyAlignment="1">
      <alignment horizontal="center" vertical="center" textRotation="90" wrapText="1" readingOrder="2"/>
    </xf>
    <xf numFmtId="3" fontId="24" fillId="21" borderId="31" xfId="0" applyNumberFormat="1" applyFont="1" applyFill="1" applyBorder="1" applyAlignment="1">
      <alignment horizontal="center" vertical="center" wrapText="1"/>
    </xf>
    <xf numFmtId="3" fontId="28" fillId="21" borderId="46" xfId="0" applyNumberFormat="1" applyFont="1" applyFill="1" applyBorder="1" applyAlignment="1">
      <alignment horizontal="center" vertical="center" textRotation="90" wrapText="1" readingOrder="2"/>
    </xf>
    <xf numFmtId="4" fontId="31" fillId="21" borderId="62" xfId="0" applyNumberFormat="1" applyFont="1" applyFill="1" applyBorder="1" applyAlignment="1">
      <alignment horizontal="center" vertical="center" wrapText="1"/>
    </xf>
    <xf numFmtId="4" fontId="31" fillId="21" borderId="50" xfId="0" applyNumberFormat="1" applyFont="1" applyFill="1" applyBorder="1" applyAlignment="1">
      <alignment horizontal="center" vertical="center" wrapText="1"/>
    </xf>
    <xf numFmtId="3" fontId="28" fillId="20" borderId="28" xfId="0" applyNumberFormat="1" applyFont="1" applyFill="1" applyBorder="1" applyAlignment="1">
      <alignment horizontal="center" vertical="center" textRotation="90" wrapText="1" readingOrder="2"/>
    </xf>
    <xf numFmtId="3" fontId="28" fillId="20" borderId="33" xfId="0" applyNumberFormat="1" applyFont="1" applyFill="1" applyBorder="1" applyAlignment="1">
      <alignment horizontal="center" vertical="center" textRotation="90" wrapText="1" readingOrder="2"/>
    </xf>
    <xf numFmtId="3" fontId="28" fillId="20" borderId="29" xfId="0" applyNumberFormat="1" applyFont="1" applyFill="1" applyBorder="1" applyAlignment="1">
      <alignment horizontal="center" vertical="center" textRotation="90" wrapText="1" readingOrder="2"/>
    </xf>
    <xf numFmtId="3" fontId="20" fillId="21" borderId="31" xfId="0" applyNumberFormat="1" applyFont="1" applyFill="1" applyBorder="1" applyAlignment="1">
      <alignment horizontal="center" vertical="center" wrapText="1"/>
    </xf>
    <xf numFmtId="1" fontId="11" fillId="19" borderId="55" xfId="0" applyNumberFormat="1" applyFont="1" applyFill="1" applyBorder="1" applyAlignment="1">
      <alignment horizontal="center" vertical="center" wrapText="1"/>
    </xf>
    <xf numFmtId="3" fontId="27" fillId="19" borderId="22"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22"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24" fillId="20" borderId="34"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32" fillId="21" borderId="58"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35"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9" xfId="0" applyNumberFormat="1" applyFont="1" applyFill="1" applyBorder="1" applyAlignment="1">
      <alignment horizontal="center" vertical="center" wrapText="1"/>
    </xf>
    <xf numFmtId="3" fontId="33" fillId="21" borderId="35" xfId="0" applyNumberFormat="1" applyFont="1" applyFill="1" applyBorder="1" applyAlignment="1">
      <alignment horizontal="center" vertical="center" wrapText="1"/>
    </xf>
    <xf numFmtId="3" fontId="33" fillId="21" borderId="60" xfId="0" applyNumberFormat="1" applyFont="1" applyFill="1" applyBorder="1" applyAlignment="1">
      <alignment horizontal="center" vertical="center" wrapText="1"/>
    </xf>
    <xf numFmtId="3" fontId="28" fillId="21" borderId="61" xfId="0" applyNumberFormat="1" applyFont="1" applyFill="1" applyBorder="1" applyAlignment="1">
      <alignment horizontal="center" vertical="center" textRotation="90" wrapText="1" readingOrder="2"/>
    </xf>
    <xf numFmtId="3" fontId="29" fillId="21" borderId="56" xfId="0" applyNumberFormat="1" applyFont="1" applyFill="1" applyBorder="1" applyAlignment="1">
      <alignment horizontal="center" vertical="center" wrapText="1" readingOrder="2"/>
    </xf>
    <xf numFmtId="3" fontId="30" fillId="21" borderId="15" xfId="0" applyNumberFormat="1" applyFont="1" applyFill="1" applyBorder="1" applyAlignment="1">
      <alignment horizontal="center" vertical="center" wrapText="1" readingOrder="2"/>
    </xf>
    <xf numFmtId="3" fontId="30" fillId="21" borderId="29" xfId="0" applyNumberFormat="1" applyFont="1" applyFill="1" applyBorder="1" applyAlignment="1">
      <alignment horizontal="center" vertical="center" wrapText="1" readingOrder="2"/>
    </xf>
    <xf numFmtId="3" fontId="28" fillId="20" borderId="38"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8"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4" fontId="32" fillId="21" borderId="10"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28" fillId="20" borderId="70" xfId="0" applyNumberFormat="1" applyFont="1" applyFill="1" applyBorder="1" applyAlignment="1">
      <alignment horizontal="center" vertical="center" textRotation="90" wrapText="1" readingOrder="2"/>
    </xf>
    <xf numFmtId="3" fontId="28" fillId="20" borderId="58" xfId="0" applyNumberFormat="1" applyFont="1" applyFill="1" applyBorder="1" applyAlignment="1">
      <alignment horizontal="center" vertical="center" textRotation="90" wrapText="1" readingOrder="2"/>
    </xf>
    <xf numFmtId="3" fontId="22" fillId="20" borderId="52" xfId="0" applyNumberFormat="1" applyFont="1" applyFill="1" applyBorder="1" applyAlignment="1">
      <alignment horizontal="center" vertical="center"/>
    </xf>
    <xf numFmtId="3" fontId="22" fillId="20" borderId="57" xfId="0" applyNumberFormat="1" applyFont="1" applyFill="1" applyBorder="1" applyAlignment="1">
      <alignment horizontal="center" vertical="center"/>
    </xf>
    <xf numFmtId="3" fontId="22" fillId="20" borderId="71" xfId="0" applyNumberFormat="1" applyFont="1" applyFill="1" applyBorder="1" applyAlignment="1">
      <alignment horizontal="center" vertical="center"/>
    </xf>
    <xf numFmtId="3" fontId="5" fillId="20" borderId="22" xfId="0" applyNumberFormat="1" applyFont="1" applyFill="1" applyBorder="1" applyAlignment="1">
      <alignment horizontal="center" vertical="center"/>
    </xf>
    <xf numFmtId="3" fontId="5" fillId="20" borderId="55" xfId="0" applyNumberFormat="1" applyFont="1" applyFill="1" applyBorder="1" applyAlignment="1">
      <alignment horizontal="center" vertical="center"/>
    </xf>
    <xf numFmtId="3" fontId="5" fillId="20" borderId="33" xfId="0" applyNumberFormat="1" applyFont="1" applyFill="1" applyBorder="1" applyAlignment="1">
      <alignment horizontal="center" vertical="center"/>
    </xf>
    <xf numFmtId="3" fontId="7" fillId="20" borderId="30"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53" xfId="0" applyNumberFormat="1" applyFont="1" applyFill="1" applyBorder="1" applyAlignment="1">
      <alignment horizontal="center" vertical="center"/>
    </xf>
    <xf numFmtId="3" fontId="28" fillId="20" borderId="37" xfId="0" applyNumberFormat="1" applyFont="1" applyFill="1" applyBorder="1" applyAlignment="1">
      <alignment horizontal="center" vertical="center" textRotation="90" wrapText="1" readingOrder="2"/>
    </xf>
    <xf numFmtId="3" fontId="6" fillId="19" borderId="23" xfId="0" applyNumberFormat="1" applyFont="1" applyFill="1" applyBorder="1" applyAlignment="1">
      <alignment horizontal="center" vertical="center"/>
    </xf>
    <xf numFmtId="3" fontId="6" fillId="19" borderId="67" xfId="0" applyNumberFormat="1" applyFont="1" applyFill="1" applyBorder="1" applyAlignment="1">
      <alignment horizontal="center" vertical="center"/>
    </xf>
    <xf numFmtId="3" fontId="6" fillId="6" borderId="72"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1" fontId="11" fillId="19" borderId="26" xfId="0" applyNumberFormat="1" applyFont="1" applyFill="1" applyBorder="1" applyAlignment="1">
      <alignment horizontal="center" vertical="center" wrapText="1"/>
    </xf>
    <xf numFmtId="3" fontId="27" fillId="19" borderId="27" xfId="0" applyNumberFormat="1" applyFont="1" applyFill="1" applyBorder="1" applyAlignment="1">
      <alignment horizontal="center" vertical="center" textRotation="90" wrapText="1" readingOrder="2"/>
    </xf>
    <xf numFmtId="3" fontId="27" fillId="19" borderId="28" xfId="0" applyNumberFormat="1" applyFont="1" applyFill="1" applyBorder="1" applyAlignment="1">
      <alignment horizontal="center" vertical="center" textRotation="90" wrapText="1" readingOrder="2"/>
    </xf>
    <xf numFmtId="3" fontId="27" fillId="19" borderId="33" xfId="0" applyNumberFormat="1" applyFont="1" applyFill="1" applyBorder="1" applyAlignment="1">
      <alignment horizontal="center" vertical="center" textRotation="90" wrapText="1" readingOrder="2"/>
    </xf>
    <xf numFmtId="3" fontId="5" fillId="20" borderId="61" xfId="0" applyNumberFormat="1" applyFont="1" applyFill="1" applyBorder="1" applyAlignment="1">
      <alignment horizontal="center" vertical="center"/>
    </xf>
    <xf numFmtId="3" fontId="5" fillId="20" borderId="62" xfId="0" applyNumberFormat="1" applyFont="1" applyFill="1" applyBorder="1" applyAlignment="1">
      <alignment horizontal="center" vertical="center"/>
    </xf>
    <xf numFmtId="3" fontId="5" fillId="20" borderId="69"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20" borderId="10"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5" fillId="2"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2"/>
    </xf>
    <xf numFmtId="3" fontId="16" fillId="8" borderId="11" xfId="0" applyNumberFormat="1" applyFont="1" applyFill="1" applyBorder="1" applyAlignment="1" applyProtection="1">
      <alignment horizontal="center" vertical="center" wrapText="1" readingOrder="1"/>
    </xf>
    <xf numFmtId="3" fontId="16" fillId="9" borderId="11" xfId="0" applyNumberFormat="1" applyFont="1" applyFill="1" applyBorder="1" applyAlignment="1" applyProtection="1">
      <alignment horizontal="center" vertical="center" wrapText="1" readingOrder="2"/>
    </xf>
    <xf numFmtId="3" fontId="1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13" borderId="10"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0" xfId="0" applyNumberFormat="1" applyFont="1" applyFill="1" applyBorder="1" applyAlignment="1" applyProtection="1">
      <alignment horizontal="center" vertical="center" wrapText="1" readingOrder="1"/>
      <protection locked="0"/>
    </xf>
    <xf numFmtId="3" fontId="18" fillId="9" borderId="11" xfId="0" applyNumberFormat="1" applyFont="1" applyFill="1" applyBorder="1" applyAlignment="1" applyProtection="1">
      <alignment horizontal="center" vertical="center" wrapText="1" readingOrder="2"/>
      <protection locked="0"/>
    </xf>
    <xf numFmtId="3" fontId="16" fillId="9" borderId="10"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1" xfId="0" applyNumberFormat="1" applyFont="1" applyFill="1" applyBorder="1" applyAlignment="1" applyProtection="1">
      <alignment horizontal="justify" vertical="center" wrapText="1" readingOrder="2"/>
    </xf>
    <xf numFmtId="3" fontId="15" fillId="22" borderId="11" xfId="0" applyNumberFormat="1" applyFont="1" applyFill="1" applyBorder="1" applyAlignment="1" applyProtection="1">
      <alignment horizontal="center" vertical="center" wrapText="1" readingOrder="2"/>
      <protection locked="0"/>
    </xf>
    <xf numFmtId="3" fontId="18" fillId="22" borderId="11" xfId="0" applyNumberFormat="1" applyFont="1" applyFill="1" applyBorder="1" applyAlignment="1" applyProtection="1">
      <alignment horizontal="center" vertical="center" wrapText="1" readingOrder="2"/>
      <protection locked="0"/>
    </xf>
    <xf numFmtId="3" fontId="5" fillId="22" borderId="10" xfId="0" applyNumberFormat="1" applyFont="1" applyFill="1" applyBorder="1" applyAlignment="1" applyProtection="1">
      <alignment horizontal="justify" vertical="center" wrapText="1" readingOrder="2"/>
    </xf>
    <xf numFmtId="3" fontId="16" fillId="22" borderId="9"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1" xfId="0" applyNumberFormat="1" applyFont="1" applyFill="1" applyBorder="1" applyAlignment="1" applyProtection="1">
      <alignment horizontal="justify" vertical="center" wrapText="1" readingOrder="2"/>
    </xf>
    <xf numFmtId="3" fontId="15" fillId="23" borderId="11" xfId="0" applyNumberFormat="1" applyFont="1" applyFill="1" applyBorder="1" applyAlignment="1" applyProtection="1">
      <alignment horizontal="center" vertical="center" wrapText="1" readingOrder="2"/>
      <protection locked="0"/>
    </xf>
    <xf numFmtId="3" fontId="18" fillId="23" borderId="11" xfId="0" applyNumberFormat="1" applyFont="1" applyFill="1" applyBorder="1" applyAlignment="1" applyProtection="1">
      <alignment horizontal="center" vertical="center" wrapText="1" readingOrder="2"/>
      <protection locked="0"/>
    </xf>
    <xf numFmtId="3" fontId="5" fillId="23" borderId="10" xfId="0" applyNumberFormat="1" applyFont="1" applyFill="1" applyBorder="1" applyAlignment="1" applyProtection="1">
      <alignment horizontal="justify" vertical="center" wrapText="1" readingOrder="2"/>
    </xf>
    <xf numFmtId="3" fontId="16" fillId="23" borderId="10"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5" fillId="24" borderId="10" xfId="0" applyNumberFormat="1" applyFont="1" applyFill="1" applyBorder="1" applyAlignment="1" applyProtection="1">
      <alignment horizontal="justify" vertical="center" wrapText="1" readingOrder="2"/>
    </xf>
    <xf numFmtId="3" fontId="19" fillId="24" borderId="10"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5" fillId="13" borderId="12"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2" fillId="16" borderId="10" xfId="0" applyNumberFormat="1" applyFont="1" applyFill="1" applyBorder="1" applyAlignment="1">
      <alignment horizontal="center" vertical="center" wrapText="1" readingOrder="2"/>
    </xf>
    <xf numFmtId="3" fontId="5" fillId="19" borderId="67" xfId="0" applyNumberFormat="1" applyFont="1" applyFill="1" applyBorder="1" applyAlignment="1">
      <alignment horizontal="center" vertical="center"/>
    </xf>
    <xf numFmtId="1" fontId="5" fillId="19" borderId="67" xfId="0" applyNumberFormat="1" applyFont="1" applyFill="1" applyBorder="1" applyAlignment="1">
      <alignment horizontal="center" vertical="center"/>
    </xf>
    <xf numFmtId="0" fontId="5" fillId="19" borderId="67" xfId="0" applyFont="1" applyFill="1" applyBorder="1" applyAlignment="1">
      <alignment horizontal="center" vertical="center"/>
    </xf>
    <xf numFmtId="3" fontId="5" fillId="19" borderId="68" xfId="0" applyNumberFormat="1" applyFont="1" applyFill="1" applyBorder="1" applyAlignment="1">
      <alignment horizontal="center" vertical="center"/>
    </xf>
    <xf numFmtId="3" fontId="5" fillId="19" borderId="74" xfId="0" applyNumberFormat="1" applyFont="1" applyFill="1" applyBorder="1" applyAlignment="1">
      <alignment horizontal="center" vertical="center"/>
    </xf>
    <xf numFmtId="1" fontId="5" fillId="19" borderId="74" xfId="0" applyNumberFormat="1" applyFont="1" applyFill="1" applyBorder="1" applyAlignment="1">
      <alignment horizontal="center" vertical="center"/>
    </xf>
    <xf numFmtId="0" fontId="5" fillId="19" borderId="74" xfId="0" applyFont="1" applyFill="1" applyBorder="1" applyAlignment="1">
      <alignment horizontal="center" vertical="center"/>
    </xf>
    <xf numFmtId="3" fontId="5" fillId="19" borderId="75" xfId="0" applyNumberFormat="1" applyFont="1" applyFill="1" applyBorder="1" applyAlignment="1">
      <alignment horizontal="center" vertical="center"/>
    </xf>
    <xf numFmtId="3" fontId="6" fillId="19" borderId="67" xfId="0" applyNumberFormat="1" applyFont="1" applyFill="1" applyBorder="1" applyAlignment="1">
      <alignment horizontal="center"/>
    </xf>
    <xf numFmtId="3" fontId="5" fillId="6" borderId="34" xfId="0" applyNumberFormat="1" applyFont="1" applyFill="1" applyBorder="1" applyAlignment="1">
      <alignment horizontal="center" vertical="center"/>
    </xf>
    <xf numFmtId="3" fontId="6" fillId="19" borderId="74" xfId="0" applyNumberFormat="1" applyFont="1" applyFill="1" applyBorder="1" applyAlignment="1">
      <alignment horizontal="center"/>
    </xf>
    <xf numFmtId="3" fontId="6" fillId="6" borderId="35" xfId="0" applyNumberFormat="1" applyFont="1" applyFill="1" applyBorder="1" applyAlignment="1">
      <alignment horizontal="center"/>
    </xf>
    <xf numFmtId="3" fontId="5" fillId="6" borderId="35" xfId="0" applyNumberFormat="1" applyFont="1" applyFill="1" applyBorder="1" applyAlignment="1">
      <alignment horizontal="center" vertical="center"/>
    </xf>
    <xf numFmtId="1" fontId="5" fillId="6" borderId="35" xfId="0" applyNumberFormat="1" applyFont="1" applyFill="1" applyBorder="1" applyAlignment="1">
      <alignment horizontal="center" vertical="center"/>
    </xf>
    <xf numFmtId="0" fontId="5" fillId="6" borderId="35" xfId="0" applyFont="1" applyFill="1" applyBorder="1" applyAlignment="1">
      <alignment horizontal="center" vertical="center"/>
    </xf>
    <xf numFmtId="3" fontId="5" fillId="6" borderId="36" xfId="0" applyNumberFormat="1" applyFont="1" applyFill="1" applyBorder="1" applyAlignment="1">
      <alignment horizontal="center" vertical="center"/>
    </xf>
    <xf numFmtId="3" fontId="5" fillId="19" borderId="25"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0" fontId="7" fillId="21" borderId="23" xfId="0" applyFont="1" applyFill="1" applyBorder="1" applyAlignment="1">
      <alignment horizontal="center" vertical="center"/>
    </xf>
    <xf numFmtId="0" fontId="2" fillId="21" borderId="67" xfId="0" applyFont="1" applyFill="1" applyBorder="1" applyAlignment="1">
      <alignment horizontal="center"/>
    </xf>
    <xf numFmtId="1" fontId="2" fillId="21" borderId="67" xfId="0" applyNumberFormat="1" applyFont="1" applyFill="1" applyBorder="1" applyAlignment="1">
      <alignment horizontal="center"/>
    </xf>
    <xf numFmtId="0" fontId="2" fillId="21" borderId="68" xfId="0" applyFont="1" applyFill="1" applyBorder="1" applyAlignment="1">
      <alignment horizontal="center"/>
    </xf>
    <xf numFmtId="0" fontId="23" fillId="21" borderId="34" xfId="0" applyFont="1" applyFill="1" applyBorder="1" applyAlignment="1">
      <alignment horizontal="center" vertical="center" wrapText="1"/>
    </xf>
    <xf numFmtId="0" fontId="23" fillId="21" borderId="35" xfId="0" applyFont="1" applyFill="1" applyBorder="1" applyAlignment="1">
      <alignment horizontal="center" vertical="center" wrapText="1"/>
    </xf>
    <xf numFmtId="1" fontId="23" fillId="21" borderId="35" xfId="0" applyNumberFormat="1" applyFont="1" applyFill="1" applyBorder="1" applyAlignment="1">
      <alignment horizontal="center" vertical="center" wrapText="1"/>
    </xf>
    <xf numFmtId="0" fontId="23" fillId="21" borderId="36" xfId="0" applyFont="1" applyFill="1" applyBorder="1" applyAlignment="1">
      <alignment horizontal="center" vertical="center" wrapText="1"/>
    </xf>
    <xf numFmtId="49" fontId="5" fillId="19" borderId="74" xfId="0" applyNumberFormat="1" applyFont="1" applyFill="1" applyBorder="1" applyAlignment="1">
      <alignment horizontal="center" vertical="center"/>
    </xf>
    <xf numFmtId="49" fontId="5" fillId="6" borderId="35" xfId="0" applyNumberFormat="1" applyFont="1" applyFill="1" applyBorder="1" applyAlignment="1">
      <alignment horizontal="center" vertical="center"/>
    </xf>
    <xf numFmtId="3" fontId="21" fillId="19" borderId="19" xfId="0" applyNumberFormat="1" applyFont="1" applyFill="1" applyBorder="1" applyAlignment="1" applyProtection="1">
      <alignment horizontal="right" vertical="center" wrapText="1" readingOrder="2"/>
    </xf>
    <xf numFmtId="3" fontId="22" fillId="19" borderId="19" xfId="0" applyNumberFormat="1" applyFont="1" applyFill="1" applyBorder="1" applyAlignment="1" applyProtection="1">
      <alignment horizontal="right" vertical="center" wrapText="1" readingOrder="2"/>
    </xf>
    <xf numFmtId="3" fontId="22" fillId="6" borderId="40" xfId="0" applyNumberFormat="1" applyFont="1" applyFill="1" applyBorder="1" applyAlignment="1" applyProtection="1">
      <alignment horizontal="right" vertical="center" wrapText="1" readingOrder="2"/>
    </xf>
    <xf numFmtId="1" fontId="22" fillId="6" borderId="40" xfId="0" applyNumberFormat="1" applyFont="1" applyFill="1" applyBorder="1" applyAlignment="1" applyProtection="1">
      <alignment horizontal="right" vertical="center" wrapText="1" readingOrder="2"/>
    </xf>
    <xf numFmtId="1" fontId="22" fillId="19" borderId="19" xfId="0" applyNumberFormat="1" applyFont="1" applyFill="1" applyBorder="1" applyAlignment="1" applyProtection="1">
      <alignment horizontal="right" vertical="center" wrapText="1" readingOrder="2"/>
    </xf>
    <xf numFmtId="3" fontId="21" fillId="6" borderId="4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17" xfId="0" applyNumberFormat="1" applyFont="1" applyFill="1" applyBorder="1" applyAlignment="1" applyProtection="1">
      <alignment horizontal="right" vertical="center" wrapText="1" readingOrder="2"/>
    </xf>
    <xf numFmtId="3" fontId="21" fillId="19" borderId="40" xfId="0" applyNumberFormat="1" applyFont="1" applyFill="1" applyBorder="1" applyAlignment="1" applyProtection="1">
      <alignment horizontal="right" vertical="center" wrapText="1" readingOrder="2"/>
    </xf>
    <xf numFmtId="3" fontId="21" fillId="6" borderId="19"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19" borderId="17"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4"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6"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4" xfId="0" applyNumberFormat="1" applyFont="1" applyFill="1" applyBorder="1" applyAlignment="1" applyProtection="1">
      <alignment horizontal="center" vertical="center" wrapText="1" readingOrder="2"/>
      <protection locked="0"/>
    </xf>
    <xf numFmtId="3" fontId="5" fillId="9" borderId="9" xfId="0" applyNumberFormat="1" applyFont="1" applyFill="1" applyBorder="1" applyAlignment="1" applyProtection="1">
      <alignment horizontal="justify" vertical="center" wrapText="1" readingOrder="2"/>
    </xf>
    <xf numFmtId="3" fontId="5" fillId="9" borderId="9"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6" borderId="9" xfId="0" applyNumberFormat="1" applyFont="1" applyFill="1" applyBorder="1" applyAlignment="1" applyProtection="1">
      <alignment horizontal="justify" vertical="center" wrapText="1" readingOrder="2"/>
    </xf>
    <xf numFmtId="3" fontId="5" fillId="6" borderId="9"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22" fillId="6" borderId="24" xfId="0" applyNumberFormat="1" applyFont="1" applyFill="1" applyBorder="1" applyAlignment="1" applyProtection="1">
      <alignment horizontal="right" vertical="center" wrapText="1" readingOrder="2"/>
    </xf>
    <xf numFmtId="3" fontId="21" fillId="19" borderId="24" xfId="0" applyNumberFormat="1" applyFont="1" applyFill="1" applyBorder="1" applyAlignment="1" applyProtection="1">
      <alignment horizontal="right" vertical="center" wrapText="1" readingOrder="2"/>
    </xf>
    <xf numFmtId="0" fontId="7" fillId="6" borderId="23"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52"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71"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1" xfId="0" applyNumberFormat="1" applyFont="1" applyFill="1" applyBorder="1" applyAlignment="1" applyProtection="1">
      <alignment horizontal="justify" vertical="center" wrapText="1" readingOrder="2"/>
    </xf>
    <xf numFmtId="0" fontId="5" fillId="4" borderId="11"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3" xfId="0" applyFont="1" applyFill="1" applyBorder="1" applyAlignment="1">
      <alignment horizontal="center" vertical="center"/>
    </xf>
    <xf numFmtId="0" fontId="2" fillId="6" borderId="67" xfId="0" applyFont="1" applyFill="1" applyBorder="1" applyAlignment="1">
      <alignment horizontal="center" vertical="center"/>
    </xf>
    <xf numFmtId="0" fontId="2" fillId="6" borderId="77" xfId="0" applyFont="1" applyFill="1" applyBorder="1" applyAlignment="1">
      <alignment horizontal="center" vertical="center"/>
    </xf>
    <xf numFmtId="0" fontId="2" fillId="19" borderId="6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3" xfId="0" applyFont="1" applyFill="1" applyBorder="1" applyAlignment="1">
      <alignment horizontal="center" vertical="center"/>
    </xf>
    <xf numFmtId="0" fontId="7" fillId="19" borderId="71" xfId="0" applyFont="1" applyFill="1" applyBorder="1" applyAlignment="1">
      <alignment horizontal="center" vertical="center"/>
    </xf>
    <xf numFmtId="0" fontId="2" fillId="19" borderId="71"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3" xfId="0" applyNumberFormat="1" applyFont="1" applyBorder="1" applyAlignment="1">
      <alignment horizontal="center" vertical="center" wrapText="1" readingOrder="2"/>
    </xf>
    <xf numFmtId="1" fontId="35" fillId="0" borderId="67" xfId="0" applyNumberFormat="1" applyFont="1" applyBorder="1" applyAlignment="1">
      <alignment horizontal="center" vertical="center" wrapText="1" readingOrder="2"/>
    </xf>
    <xf numFmtId="3" fontId="27" fillId="0" borderId="72" xfId="0" applyNumberFormat="1" applyFont="1" applyFill="1" applyBorder="1" applyAlignment="1">
      <alignment horizontal="center" vertical="center" wrapText="1"/>
    </xf>
    <xf numFmtId="3" fontId="31" fillId="0" borderId="47" xfId="0" applyNumberFormat="1" applyFont="1" applyFill="1" applyBorder="1" applyAlignment="1">
      <alignment horizontal="center" vertical="center" wrapText="1" readingOrder="2"/>
    </xf>
    <xf numFmtId="3" fontId="11" fillId="0" borderId="26" xfId="0" applyNumberFormat="1" applyFont="1" applyBorder="1" applyAlignment="1">
      <alignment horizontal="center" vertical="center" textRotation="90" readingOrder="2"/>
    </xf>
    <xf numFmtId="3" fontId="11" fillId="0" borderId="55" xfId="0" applyNumberFormat="1" applyFont="1" applyBorder="1" applyAlignment="1">
      <alignment horizontal="center" vertical="center" textRotation="90" readingOrder="2"/>
    </xf>
    <xf numFmtId="3" fontId="22" fillId="25" borderId="26" xfId="0" applyNumberFormat="1" applyFont="1" applyFill="1" applyBorder="1" applyAlignment="1">
      <alignment horizontal="center" vertical="center"/>
    </xf>
    <xf numFmtId="3" fontId="22" fillId="25" borderId="55" xfId="0" applyNumberFormat="1" applyFont="1" applyFill="1" applyBorder="1" applyAlignment="1">
      <alignment horizontal="center" vertical="center"/>
    </xf>
    <xf numFmtId="3" fontId="22" fillId="15" borderId="26" xfId="0" applyNumberFormat="1" applyFont="1" applyFill="1" applyBorder="1" applyAlignment="1">
      <alignment horizontal="center" vertical="center"/>
    </xf>
    <xf numFmtId="3" fontId="22" fillId="15" borderId="56"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wrapText="1"/>
    </xf>
    <xf numFmtId="3" fontId="31" fillId="0" borderId="31"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22"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22"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15" xfId="0" applyNumberFormat="1" applyFont="1" applyFill="1" applyBorder="1" applyAlignment="1">
      <alignment horizontal="center" vertical="center"/>
    </xf>
    <xf numFmtId="3" fontId="27" fillId="0" borderId="70" xfId="0" applyNumberFormat="1" applyFont="1" applyFill="1" applyBorder="1" applyAlignment="1">
      <alignment horizontal="center" vertical="center" wrapText="1"/>
    </xf>
    <xf numFmtId="3" fontId="31" fillId="0" borderId="37"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33"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3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4"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2"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25" borderId="15"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76" xfId="0" applyNumberFormat="1" applyFont="1" applyFill="1" applyBorder="1" applyAlignment="1">
      <alignment horizontal="center" vertical="center"/>
    </xf>
    <xf numFmtId="3" fontId="2" fillId="25" borderId="40" xfId="0" applyNumberFormat="1" applyFont="1" applyFill="1" applyBorder="1" applyAlignment="1">
      <alignment horizontal="center" vertical="center"/>
    </xf>
    <xf numFmtId="3" fontId="22" fillId="15" borderId="24" xfId="0" applyNumberFormat="1" applyFont="1" applyFill="1" applyBorder="1" applyAlignment="1">
      <alignment horizontal="center" vertical="center"/>
    </xf>
    <xf numFmtId="3" fontId="2" fillId="25" borderId="52" xfId="0" applyNumberFormat="1" applyFont="1" applyFill="1" applyBorder="1" applyAlignment="1">
      <alignment horizontal="center" vertical="center"/>
    </xf>
    <xf numFmtId="3" fontId="22" fillId="25" borderId="65"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7"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76" xfId="0" applyNumberFormat="1" applyFont="1" applyFill="1" applyBorder="1" applyAlignment="1">
      <alignment horizontal="center" vertical="center"/>
    </xf>
    <xf numFmtId="3" fontId="22" fillId="15" borderId="65"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2" fillId="15" borderId="59" xfId="0" applyNumberFormat="1" applyFont="1" applyFill="1" applyBorder="1" applyAlignment="1">
      <alignment horizontal="center" vertical="center"/>
    </xf>
    <xf numFmtId="3" fontId="28" fillId="0" borderId="26" xfId="0" applyNumberFormat="1" applyFont="1" applyFill="1" applyBorder="1" applyAlignment="1">
      <alignment horizontal="center" vertical="center" textRotation="90" wrapText="1" readingOrder="2"/>
    </xf>
    <xf numFmtId="3" fontId="28" fillId="0" borderId="55" xfId="0" applyNumberFormat="1" applyFont="1" applyFill="1" applyBorder="1" applyAlignment="1">
      <alignment horizontal="center" vertical="center" textRotation="90" wrapText="1" readingOrder="2"/>
    </xf>
    <xf numFmtId="3" fontId="28" fillId="0" borderId="28" xfId="0" applyNumberFormat="1" applyFont="1" applyFill="1" applyBorder="1" applyAlignment="1">
      <alignment horizontal="center" vertical="center" textRotation="90" wrapText="1" readingOrder="2"/>
    </xf>
    <xf numFmtId="3" fontId="28" fillId="0" borderId="33" xfId="0" applyNumberFormat="1" applyFont="1" applyFill="1" applyBorder="1" applyAlignment="1">
      <alignment horizontal="center" vertical="center" textRotation="90" wrapText="1" readingOrder="2"/>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53" xfId="0" applyFont="1" applyFill="1" applyBorder="1" applyAlignment="1">
      <alignment horizontal="center" vertical="center"/>
    </xf>
    <xf numFmtId="3" fontId="6" fillId="19" borderId="22" xfId="0" applyNumberFormat="1" applyFont="1" applyFill="1" applyBorder="1" applyAlignment="1">
      <alignment horizontal="center" vertical="center"/>
    </xf>
    <xf numFmtId="3" fontId="6" fillId="19" borderId="15" xfId="0" applyNumberFormat="1" applyFont="1" applyFill="1" applyBorder="1" applyAlignment="1">
      <alignment horizontal="center" vertical="center"/>
    </xf>
    <xf numFmtId="0" fontId="5" fillId="19" borderId="22"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55" xfId="0" applyFont="1" applyFill="1" applyBorder="1" applyAlignment="1">
      <alignment horizontal="center" vertical="center"/>
    </xf>
    <xf numFmtId="0" fontId="2" fillId="19" borderId="55" xfId="0" applyFont="1" applyFill="1" applyBorder="1" applyAlignment="1">
      <alignment horizontal="center" vertical="center"/>
    </xf>
    <xf numFmtId="0" fontId="6" fillId="19" borderId="55" xfId="0" applyFont="1" applyFill="1" applyBorder="1" applyAlignment="1">
      <alignment horizontal="center" vertical="center"/>
    </xf>
    <xf numFmtId="0" fontId="6" fillId="19" borderId="56" xfId="0" applyFont="1" applyFill="1" applyBorder="1" applyAlignment="1">
      <alignment horizontal="center" vertical="center"/>
    </xf>
    <xf numFmtId="0" fontId="2" fillId="19" borderId="33" xfId="0" applyFont="1" applyFill="1" applyBorder="1" applyAlignment="1">
      <alignment horizontal="center" vertical="center"/>
    </xf>
    <xf numFmtId="3" fontId="6" fillId="19" borderId="33" xfId="0" applyNumberFormat="1" applyFont="1" applyFill="1" applyBorder="1" applyAlignment="1">
      <alignment horizontal="center" vertical="center"/>
    </xf>
    <xf numFmtId="3" fontId="6" fillId="19" borderId="29" xfId="0" applyNumberFormat="1" applyFont="1" applyFill="1" applyBorder="1" applyAlignment="1">
      <alignment horizontal="center" vertical="center"/>
    </xf>
    <xf numFmtId="0" fontId="22" fillId="6" borderId="26" xfId="0" applyFont="1" applyFill="1" applyBorder="1" applyAlignment="1">
      <alignment horizontal="right" vertical="center" wrapText="1"/>
    </xf>
    <xf numFmtId="0" fontId="22" fillId="6" borderId="28" xfId="0" applyFont="1" applyFill="1" applyBorder="1" applyAlignment="1">
      <alignment horizontal="right" vertical="center" wrapText="1"/>
    </xf>
    <xf numFmtId="3" fontId="34" fillId="14" borderId="17" xfId="0" applyNumberFormat="1" applyFont="1" applyFill="1" applyBorder="1" applyAlignment="1" applyProtection="1">
      <alignment horizontal="center" vertical="center" textRotation="90" wrapText="1" readingOrder="2"/>
    </xf>
    <xf numFmtId="3" fontId="34" fillId="14" borderId="63" xfId="0" applyNumberFormat="1" applyFont="1" applyFill="1" applyBorder="1" applyAlignment="1" applyProtection="1">
      <alignment horizontal="center" vertical="center" textRotation="90" wrapText="1" readingOrder="2"/>
    </xf>
    <xf numFmtId="3" fontId="34" fillId="14" borderId="19"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73" xfId="0" applyNumberFormat="1" applyFont="1" applyFill="1" applyBorder="1" applyAlignment="1" applyProtection="1">
      <alignment horizontal="center" vertical="center" textRotation="90" wrapText="1" readingOrder="2"/>
    </xf>
    <xf numFmtId="0" fontId="6" fillId="6" borderId="55" xfId="0" applyFont="1" applyFill="1" applyBorder="1" applyAlignment="1">
      <alignment horizontal="right" vertical="center"/>
    </xf>
    <xf numFmtId="0" fontId="6" fillId="6" borderId="56" xfId="0" applyFont="1" applyFill="1" applyBorder="1" applyAlignment="1">
      <alignment horizontal="right" vertical="center"/>
    </xf>
    <xf numFmtId="0" fontId="6" fillId="19" borderId="33" xfId="0" applyFont="1" applyFill="1" applyBorder="1" applyAlignment="1">
      <alignment horizontal="right" vertical="center"/>
    </xf>
    <xf numFmtId="0" fontId="6" fillId="19" borderId="29" xfId="0" applyFont="1" applyFill="1" applyBorder="1" applyAlignment="1">
      <alignment horizontal="right"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40" xfId="0" applyFont="1" applyFill="1" applyBorder="1" applyAlignment="1">
      <alignment horizontal="center" vertical="center"/>
    </xf>
    <xf numFmtId="0" fontId="6" fillId="19" borderId="25" xfId="0" applyFont="1" applyFill="1" applyBorder="1" applyAlignment="1">
      <alignment horizontal="right" vertical="center"/>
    </xf>
    <xf numFmtId="0" fontId="6" fillId="19" borderId="74" xfId="0" applyFont="1" applyFill="1" applyBorder="1" applyAlignment="1">
      <alignment horizontal="right" vertical="center"/>
    </xf>
    <xf numFmtId="0" fontId="6" fillId="19" borderId="75"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74" xfId="0" applyFont="1" applyFill="1" applyBorder="1" applyAlignment="1">
      <alignment horizontal="right" vertical="center"/>
    </xf>
    <xf numFmtId="0" fontId="6" fillId="6" borderId="75" xfId="0" applyFont="1" applyFill="1" applyBorder="1" applyAlignment="1">
      <alignment horizontal="right" vertical="center"/>
    </xf>
    <xf numFmtId="0" fontId="6" fillId="19" borderId="23" xfId="0" applyFont="1" applyFill="1" applyBorder="1" applyAlignment="1">
      <alignment horizontal="right" vertical="center"/>
    </xf>
    <xf numFmtId="0" fontId="6" fillId="19" borderId="67"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52" xfId="0" applyFont="1" applyFill="1" applyBorder="1" applyAlignment="1">
      <alignment horizontal="right" vertical="center"/>
    </xf>
    <xf numFmtId="0" fontId="6" fillId="19" borderId="57" xfId="0" applyFont="1" applyFill="1" applyBorder="1" applyAlignment="1">
      <alignment horizontal="right" vertical="center"/>
    </xf>
    <xf numFmtId="0" fontId="6" fillId="19" borderId="71" xfId="0" applyFont="1" applyFill="1" applyBorder="1" applyAlignment="1">
      <alignment horizontal="right" vertical="center"/>
    </xf>
    <xf numFmtId="0" fontId="6" fillId="19" borderId="25" xfId="0" applyFont="1" applyFill="1" applyBorder="1" applyAlignment="1">
      <alignment horizontal="right" vertical="center" wrapText="1"/>
    </xf>
    <xf numFmtId="0" fontId="6" fillId="19" borderId="74"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19"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6"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3" fontId="4" fillId="3" borderId="17" xfId="0" applyNumberFormat="1" applyFont="1" applyFill="1" applyBorder="1" applyAlignment="1" applyProtection="1">
      <alignment horizontal="center" vertical="center" textRotation="90" wrapText="1" readingOrder="2"/>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16"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63"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3" xfId="0" applyNumberFormat="1" applyFont="1" applyFill="1" applyBorder="1" applyAlignment="1" applyProtection="1">
      <alignment horizontal="center" vertical="center" textRotation="90" wrapText="1" readingOrder="2"/>
    </xf>
    <xf numFmtId="3" fontId="20" fillId="3" borderId="17" xfId="0" applyNumberFormat="1" applyFont="1" applyFill="1" applyBorder="1" applyAlignment="1" applyProtection="1">
      <alignment horizontal="center" vertical="center" textRotation="90" wrapText="1" readingOrder="2"/>
    </xf>
    <xf numFmtId="3" fontId="20" fillId="3" borderId="63" xfId="0" applyNumberFormat="1" applyFont="1" applyFill="1" applyBorder="1" applyAlignment="1" applyProtection="1">
      <alignment horizontal="center" vertical="center" textRotation="90" wrapText="1" readingOrder="2"/>
    </xf>
    <xf numFmtId="3" fontId="20" fillId="3" borderId="19"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73"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1"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4" xfId="0" applyFont="1" applyFill="1" applyBorder="1" applyAlignment="1">
      <alignment horizontal="center" vertical="center" wrapText="1"/>
    </xf>
    <xf numFmtId="3" fontId="23" fillId="7" borderId="17" xfId="0" applyNumberFormat="1" applyFont="1" applyFill="1" applyBorder="1" applyAlignment="1">
      <alignment horizontal="center" vertical="center" wrapText="1" readingOrder="2"/>
    </xf>
    <xf numFmtId="3" fontId="23" fillId="7" borderId="44" xfId="0" applyNumberFormat="1" applyFont="1" applyFill="1" applyBorder="1" applyAlignment="1">
      <alignment horizontal="center" vertical="center" wrapText="1" readingOrder="2"/>
    </xf>
    <xf numFmtId="3" fontId="23" fillId="7" borderId="19"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17" borderId="17" xfId="0" applyNumberFormat="1" applyFont="1" applyFill="1" applyBorder="1" applyAlignment="1">
      <alignment horizontal="center" vertical="center" wrapText="1" readingOrder="2"/>
    </xf>
    <xf numFmtId="3" fontId="23" fillId="17" borderId="44" xfId="0" applyNumberFormat="1" applyFont="1" applyFill="1" applyBorder="1" applyAlignment="1">
      <alignment horizontal="center" vertical="center" wrapText="1" readingOrder="2"/>
    </xf>
    <xf numFmtId="3" fontId="23" fillId="17" borderId="19"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13" fillId="13" borderId="17"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4" borderId="17"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19"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48" xfId="0" applyNumberFormat="1" applyFont="1" applyFill="1" applyBorder="1" applyAlignment="1">
      <alignment horizontal="center" vertical="center" wrapText="1"/>
    </xf>
    <xf numFmtId="3" fontId="13" fillId="14" borderId="3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4" fillId="15" borderId="45"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3" fillId="16" borderId="17" xfId="0" applyNumberFormat="1" applyFont="1" applyFill="1" applyBorder="1" applyAlignment="1">
      <alignment horizontal="center" vertical="center" wrapText="1"/>
    </xf>
    <xf numFmtId="3" fontId="13" fillId="16" borderId="19" xfId="0" applyNumberFormat="1" applyFont="1" applyFill="1" applyBorder="1" applyAlignment="1">
      <alignment horizontal="center" vertical="center" wrapText="1"/>
    </xf>
    <xf numFmtId="3" fontId="13" fillId="16" borderId="51" xfId="0" applyNumberFormat="1" applyFont="1" applyFill="1" applyBorder="1" applyAlignment="1">
      <alignment horizontal="center" vertical="center" wrapText="1"/>
    </xf>
    <xf numFmtId="3" fontId="13" fillId="16" borderId="54" xfId="0" applyNumberFormat="1" applyFont="1" applyFill="1" applyBorder="1" applyAlignment="1">
      <alignment horizontal="center" vertical="center" wrapText="1"/>
    </xf>
    <xf numFmtId="3" fontId="13" fillId="16" borderId="26" xfId="0" applyNumberFormat="1" applyFont="1" applyFill="1" applyBorder="1" applyAlignment="1">
      <alignment horizontal="center" vertical="center" wrapText="1"/>
    </xf>
    <xf numFmtId="3" fontId="13" fillId="16" borderId="28" xfId="0" applyNumberFormat="1" applyFont="1" applyFill="1" applyBorder="1" applyAlignment="1">
      <alignment horizontal="center" vertical="center" wrapText="1"/>
    </xf>
    <xf numFmtId="3" fontId="23" fillId="16" borderId="25" xfId="0" applyNumberFormat="1" applyFont="1" applyFill="1" applyBorder="1" applyAlignment="1">
      <alignment horizontal="center" vertical="center" wrapText="1" readingOrder="2"/>
    </xf>
    <xf numFmtId="3" fontId="23" fillId="16" borderId="52" xfId="0" applyNumberFormat="1" applyFont="1" applyFill="1" applyBorder="1" applyAlignment="1">
      <alignment horizontal="center" vertical="center" wrapText="1" readingOrder="2"/>
    </xf>
    <xf numFmtId="3" fontId="23" fillId="16" borderId="23" xfId="0" applyNumberFormat="1" applyFont="1" applyFill="1" applyBorder="1" applyAlignment="1">
      <alignment horizontal="center" vertical="center" wrapText="1" readingOrder="2"/>
    </xf>
    <xf numFmtId="3" fontId="25" fillId="16" borderId="26" xfId="0" applyNumberFormat="1" applyFont="1" applyFill="1" applyBorder="1" applyAlignment="1">
      <alignment horizontal="center" vertical="center" wrapText="1"/>
    </xf>
    <xf numFmtId="3" fontId="25" fillId="16" borderId="28" xfId="0" applyNumberFormat="1" applyFont="1" applyFill="1" applyBorder="1" applyAlignment="1">
      <alignment horizontal="center" vertical="center" wrapText="1"/>
    </xf>
    <xf numFmtId="0" fontId="2" fillId="6" borderId="28"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52"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46" xfId="0" applyFont="1" applyFill="1" applyBorder="1" applyAlignment="1">
      <alignment horizontal="center" vertical="center"/>
    </xf>
    <xf numFmtId="3" fontId="2" fillId="20" borderId="26" xfId="0" applyNumberFormat="1" applyFont="1" applyFill="1" applyBorder="1" applyAlignment="1">
      <alignment horizontal="center" vertical="center"/>
    </xf>
    <xf numFmtId="3" fontId="2" fillId="20" borderId="55" xfId="0" applyNumberFormat="1" applyFont="1" applyFill="1" applyBorder="1" applyAlignment="1">
      <alignment horizontal="center" vertical="center"/>
    </xf>
    <xf numFmtId="3" fontId="2" fillId="20" borderId="30" xfId="0" applyNumberFormat="1"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22"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0" fontId="2" fillId="19" borderId="63" xfId="0" applyFont="1" applyFill="1" applyBorder="1" applyAlignment="1">
      <alignment horizontal="center" vertical="center"/>
    </xf>
    <xf numFmtId="0" fontId="2" fillId="19" borderId="18" xfId="0" applyFont="1" applyFill="1" applyBorder="1" applyAlignment="1">
      <alignment horizontal="center" vertical="center"/>
    </xf>
    <xf numFmtId="1" fontId="26" fillId="6" borderId="66"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5"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4"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0" fillId="20" borderId="26" xfId="0" applyNumberFormat="1" applyFont="1" applyFill="1" applyBorder="1" applyAlignment="1">
      <alignment horizontal="center" vertical="center" wrapText="1"/>
    </xf>
    <xf numFmtId="3" fontId="20" fillId="20" borderId="55"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22" xfId="0" applyNumberFormat="1" applyFont="1" applyFill="1" applyBorder="1" applyAlignment="1">
      <alignment horizontal="center" vertical="center" wrapText="1"/>
    </xf>
    <xf numFmtId="3" fontId="20" fillId="20" borderId="15" xfId="0" applyNumberFormat="1" applyFont="1" applyFill="1" applyBorder="1" applyAlignment="1">
      <alignment horizontal="center" vertical="center" wrapText="1"/>
    </xf>
    <xf numFmtId="3" fontId="33" fillId="0" borderId="65"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69" xfId="0" applyNumberFormat="1" applyFont="1" applyFill="1" applyBorder="1" applyAlignment="1">
      <alignment horizontal="center" vertical="center" wrapText="1"/>
    </xf>
    <xf numFmtId="3" fontId="33" fillId="0" borderId="53" xfId="0" applyNumberFormat="1" applyFont="1" applyFill="1" applyBorder="1" applyAlignment="1">
      <alignment horizontal="center" vertical="center" wrapText="1"/>
    </xf>
    <xf numFmtId="3" fontId="32" fillId="0" borderId="53"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60"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46" xfId="0" applyNumberFormat="1" applyFont="1" applyFill="1" applyBorder="1" applyAlignment="1">
      <alignment horizontal="center" vertical="center" wrapText="1"/>
    </xf>
    <xf numFmtId="1" fontId="33" fillId="0" borderId="59" xfId="0" applyNumberFormat="1" applyFont="1" applyFill="1" applyBorder="1" applyAlignment="1">
      <alignment horizontal="center" vertical="center" wrapText="1"/>
    </xf>
    <xf numFmtId="1" fontId="33" fillId="0" borderId="73" xfId="0" applyNumberFormat="1" applyFont="1" applyFill="1" applyBorder="1" applyAlignment="1">
      <alignment horizontal="center" vertical="center" wrapText="1"/>
    </xf>
    <xf numFmtId="1" fontId="33" fillId="0" borderId="21"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30"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3" xfId="0" applyNumberFormat="1" applyFont="1" applyFill="1" applyBorder="1" applyAlignment="1">
      <alignment horizontal="center" vertical="center" wrapText="1"/>
    </xf>
    <xf numFmtId="0" fontId="16" fillId="0" borderId="40" xfId="0" applyFont="1" applyFill="1" applyBorder="1" applyAlignment="1">
      <alignment horizontal="center"/>
    </xf>
    <xf numFmtId="0" fontId="16" fillId="0" borderId="41" xfId="0" applyFont="1" applyFill="1" applyBorder="1" applyAlignment="1">
      <alignment horizontal="center"/>
    </xf>
    <xf numFmtId="0" fontId="16" fillId="0" borderId="63" xfId="0" applyFont="1" applyFill="1" applyBorder="1" applyAlignment="1">
      <alignment horizontal="center"/>
    </xf>
    <xf numFmtId="0" fontId="16" fillId="0" borderId="42" xfId="0" applyFont="1" applyFill="1" applyBorder="1" applyAlignment="1">
      <alignment horizontal="center"/>
    </xf>
    <xf numFmtId="3" fontId="29" fillId="0" borderId="23" xfId="0" applyNumberFormat="1" applyFont="1" applyFill="1" applyBorder="1" applyAlignment="1">
      <alignment horizontal="center" vertical="center" textRotation="90" wrapText="1" readingOrder="2"/>
    </xf>
    <xf numFmtId="3" fontId="29" fillId="0" borderId="25" xfId="0" applyNumberFormat="1" applyFont="1" applyFill="1" applyBorder="1" applyAlignment="1">
      <alignment horizontal="center" vertical="center" textRotation="90" wrapText="1" readingOrder="2"/>
    </xf>
    <xf numFmtId="3" fontId="29" fillId="0" borderId="52" xfId="0" applyNumberFormat="1" applyFont="1" applyFill="1" applyBorder="1" applyAlignment="1">
      <alignment horizontal="center" vertical="center" textRotation="90" wrapText="1" readingOrder="2"/>
    </xf>
    <xf numFmtId="3" fontId="24" fillId="0" borderId="77" xfId="0" applyNumberFormat="1" applyFont="1" applyFill="1" applyBorder="1" applyAlignment="1">
      <alignment horizontal="center" vertical="center" wrapText="1" readingOrder="2"/>
    </xf>
    <xf numFmtId="3" fontId="24" fillId="0" borderId="78" xfId="0" applyNumberFormat="1" applyFont="1" applyFill="1" applyBorder="1" applyAlignment="1">
      <alignment horizontal="center" vertical="center" wrapText="1" readingOrder="2"/>
    </xf>
    <xf numFmtId="3" fontId="24" fillId="0" borderId="59" xfId="0" applyNumberFormat="1" applyFont="1" applyFill="1" applyBorder="1" applyAlignment="1">
      <alignment horizontal="center" vertical="center" wrapText="1" readingOrder="2"/>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29" fillId="0" borderId="77"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2" fillId="0" borderId="17" xfId="0" applyNumberFormat="1" applyFont="1" applyBorder="1" applyAlignment="1">
      <alignment horizontal="center"/>
    </xf>
    <xf numFmtId="0" fontId="22" fillId="0" borderId="63" xfId="0" applyFont="1" applyBorder="1" applyAlignment="1">
      <alignment horizontal="center"/>
    </xf>
    <xf numFmtId="0" fontId="22" fillId="0" borderId="18" xfId="0" applyFont="1" applyBorder="1" applyAlignment="1">
      <alignment horizontal="center"/>
    </xf>
    <xf numFmtId="3" fontId="29" fillId="0" borderId="63"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6" xfId="0" applyNumberFormat="1" applyFont="1" applyBorder="1" applyAlignment="1">
      <alignment horizontal="center" vertical="center" textRotation="90" wrapText="1" readingOrder="2"/>
    </xf>
    <xf numFmtId="3" fontId="28" fillId="0" borderId="70" xfId="0" applyNumberFormat="1" applyFont="1" applyBorder="1" applyAlignment="1">
      <alignment horizontal="center" vertical="center" textRotation="90" wrapText="1" readingOrder="2"/>
    </xf>
    <xf numFmtId="3" fontId="28" fillId="0" borderId="55" xfId="0" applyNumberFormat="1" applyFont="1" applyBorder="1" applyAlignment="1">
      <alignment horizontal="center" vertical="center" textRotation="90" wrapText="1" readingOrder="2"/>
    </xf>
    <xf numFmtId="3" fontId="28" fillId="0" borderId="58"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79"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370"/>
    <col min="2" max="2" width="7.28515625" style="370" customWidth="1"/>
    <col min="3" max="3" width="6.85546875" style="370" customWidth="1"/>
    <col min="4" max="4" width="35.28515625" style="370" customWidth="1"/>
    <col min="5" max="16384" width="9.140625" style="370"/>
  </cols>
  <sheetData>
    <row r="1" spans="2:21" ht="18" thickBot="1" x14ac:dyDescent="0.45"/>
    <row r="2" spans="2:21" ht="18.75" thickBot="1" x14ac:dyDescent="0.45">
      <c r="B2" s="506" t="s">
        <v>305</v>
      </c>
      <c r="C2" s="505"/>
      <c r="D2" s="371" t="s">
        <v>306</v>
      </c>
      <c r="E2" s="504" t="s">
        <v>307</v>
      </c>
      <c r="F2" s="504"/>
      <c r="G2" s="504"/>
      <c r="H2" s="504"/>
      <c r="I2" s="504"/>
      <c r="J2" s="504"/>
      <c r="K2" s="504"/>
      <c r="L2" s="504"/>
      <c r="M2" s="504"/>
      <c r="N2" s="504"/>
      <c r="O2" s="504"/>
      <c r="P2" s="504"/>
      <c r="Q2" s="504"/>
      <c r="R2" s="504"/>
      <c r="S2" s="504"/>
      <c r="T2" s="504"/>
      <c r="U2" s="505"/>
    </row>
    <row r="3" spans="2:21" ht="18" thickBot="1" x14ac:dyDescent="0.45">
      <c r="B3" s="496" t="s">
        <v>14</v>
      </c>
      <c r="C3" s="497"/>
      <c r="D3" s="359" t="s">
        <v>56</v>
      </c>
      <c r="E3" s="528" t="s">
        <v>311</v>
      </c>
      <c r="F3" s="529"/>
      <c r="G3" s="529"/>
      <c r="H3" s="529"/>
      <c r="I3" s="529"/>
      <c r="J3" s="529"/>
      <c r="K3" s="529"/>
      <c r="L3" s="529"/>
      <c r="M3" s="529"/>
      <c r="N3" s="529"/>
      <c r="O3" s="529"/>
      <c r="P3" s="529"/>
      <c r="Q3" s="529"/>
      <c r="R3" s="529"/>
      <c r="S3" s="529"/>
      <c r="T3" s="529"/>
      <c r="U3" s="530"/>
    </row>
    <row r="4" spans="2:21" ht="18" thickBot="1" x14ac:dyDescent="0.45">
      <c r="B4" s="496"/>
      <c r="C4" s="497"/>
      <c r="D4" s="360" t="s">
        <v>59</v>
      </c>
      <c r="E4" s="531" t="s">
        <v>310</v>
      </c>
      <c r="F4" s="532"/>
      <c r="G4" s="532"/>
      <c r="H4" s="532"/>
      <c r="I4" s="532"/>
      <c r="J4" s="532"/>
      <c r="K4" s="532"/>
      <c r="L4" s="532"/>
      <c r="M4" s="532"/>
      <c r="N4" s="532"/>
      <c r="O4" s="532"/>
      <c r="P4" s="532"/>
      <c r="Q4" s="532"/>
      <c r="R4" s="532"/>
      <c r="S4" s="532"/>
      <c r="T4" s="532"/>
      <c r="U4" s="533"/>
    </row>
    <row r="5" spans="2:21" ht="18" thickBot="1" x14ac:dyDescent="0.45">
      <c r="B5" s="496"/>
      <c r="C5" s="497"/>
      <c r="D5" s="359" t="s">
        <v>60</v>
      </c>
      <c r="E5" s="528" t="s">
        <v>309</v>
      </c>
      <c r="F5" s="529"/>
      <c r="G5" s="529"/>
      <c r="H5" s="529"/>
      <c r="I5" s="529"/>
      <c r="J5" s="529"/>
      <c r="K5" s="529"/>
      <c r="L5" s="529"/>
      <c r="M5" s="529"/>
      <c r="N5" s="529"/>
      <c r="O5" s="529"/>
      <c r="P5" s="529"/>
      <c r="Q5" s="529"/>
      <c r="R5" s="529"/>
      <c r="S5" s="529"/>
      <c r="T5" s="529"/>
      <c r="U5" s="530"/>
    </row>
    <row r="6" spans="2:21" ht="18" thickBot="1" x14ac:dyDescent="0.45">
      <c r="B6" s="496"/>
      <c r="C6" s="497"/>
      <c r="D6" s="360" t="s">
        <v>33</v>
      </c>
      <c r="E6" s="531" t="s">
        <v>308</v>
      </c>
      <c r="F6" s="532"/>
      <c r="G6" s="532"/>
      <c r="H6" s="532"/>
      <c r="I6" s="532"/>
      <c r="J6" s="532"/>
      <c r="K6" s="532"/>
      <c r="L6" s="532"/>
      <c r="M6" s="532"/>
      <c r="N6" s="532"/>
      <c r="O6" s="532"/>
      <c r="P6" s="532"/>
      <c r="Q6" s="532"/>
      <c r="R6" s="532"/>
      <c r="S6" s="532"/>
      <c r="T6" s="532"/>
      <c r="U6" s="533"/>
    </row>
    <row r="7" spans="2:21" ht="18" thickBot="1" x14ac:dyDescent="0.45">
      <c r="B7" s="496"/>
      <c r="C7" s="497"/>
      <c r="D7" s="359" t="s">
        <v>9</v>
      </c>
      <c r="E7" s="528" t="s">
        <v>312</v>
      </c>
      <c r="F7" s="529"/>
      <c r="G7" s="529"/>
      <c r="H7" s="529"/>
      <c r="I7" s="529"/>
      <c r="J7" s="529"/>
      <c r="K7" s="529"/>
      <c r="L7" s="529"/>
      <c r="M7" s="529"/>
      <c r="N7" s="529"/>
      <c r="O7" s="529"/>
      <c r="P7" s="529"/>
      <c r="Q7" s="529"/>
      <c r="R7" s="529"/>
      <c r="S7" s="529"/>
      <c r="T7" s="529"/>
      <c r="U7" s="530"/>
    </row>
    <row r="8" spans="2:21" ht="18" thickBot="1" x14ac:dyDescent="0.45">
      <c r="B8" s="496"/>
      <c r="C8" s="497"/>
      <c r="D8" s="360" t="s">
        <v>22</v>
      </c>
      <c r="E8" s="531" t="s">
        <v>313</v>
      </c>
      <c r="F8" s="532"/>
      <c r="G8" s="532"/>
      <c r="H8" s="532"/>
      <c r="I8" s="532"/>
      <c r="J8" s="532"/>
      <c r="K8" s="532"/>
      <c r="L8" s="532"/>
      <c r="M8" s="532"/>
      <c r="N8" s="532"/>
      <c r="O8" s="532"/>
      <c r="P8" s="532"/>
      <c r="Q8" s="532"/>
      <c r="R8" s="532"/>
      <c r="S8" s="532"/>
      <c r="T8" s="532"/>
      <c r="U8" s="533"/>
    </row>
    <row r="9" spans="2:21" ht="29.25" thickBot="1" x14ac:dyDescent="0.45">
      <c r="B9" s="496"/>
      <c r="C9" s="497"/>
      <c r="D9" s="359" t="s">
        <v>290</v>
      </c>
      <c r="E9" s="528" t="s">
        <v>314</v>
      </c>
      <c r="F9" s="529"/>
      <c r="G9" s="529"/>
      <c r="H9" s="529"/>
      <c r="I9" s="529"/>
      <c r="J9" s="529"/>
      <c r="K9" s="529"/>
      <c r="L9" s="529"/>
      <c r="M9" s="529"/>
      <c r="N9" s="529"/>
      <c r="O9" s="529"/>
      <c r="P9" s="529"/>
      <c r="Q9" s="529"/>
      <c r="R9" s="529"/>
      <c r="S9" s="529"/>
      <c r="T9" s="529"/>
      <c r="U9" s="530"/>
    </row>
    <row r="10" spans="2:21" ht="18" thickBot="1" x14ac:dyDescent="0.45">
      <c r="B10" s="496"/>
      <c r="C10" s="497"/>
      <c r="D10" s="360" t="s">
        <v>51</v>
      </c>
      <c r="E10" s="510" t="s">
        <v>315</v>
      </c>
      <c r="F10" s="511"/>
      <c r="G10" s="511"/>
      <c r="H10" s="511"/>
      <c r="I10" s="511"/>
      <c r="J10" s="511"/>
      <c r="K10" s="511"/>
      <c r="L10" s="511"/>
      <c r="M10" s="511"/>
      <c r="N10" s="511"/>
      <c r="O10" s="511"/>
      <c r="P10" s="511"/>
      <c r="Q10" s="511"/>
      <c r="R10" s="511"/>
      <c r="S10" s="511"/>
      <c r="T10" s="511"/>
      <c r="U10" s="512"/>
    </row>
    <row r="11" spans="2:21" ht="18" thickBot="1" x14ac:dyDescent="0.45">
      <c r="B11" s="496"/>
      <c r="C11" s="497"/>
      <c r="D11" s="359" t="s">
        <v>52</v>
      </c>
      <c r="E11" s="507" t="s">
        <v>316</v>
      </c>
      <c r="F11" s="508"/>
      <c r="G11" s="508"/>
      <c r="H11" s="508"/>
      <c r="I11" s="508"/>
      <c r="J11" s="508"/>
      <c r="K11" s="508"/>
      <c r="L11" s="508"/>
      <c r="M11" s="508"/>
      <c r="N11" s="508"/>
      <c r="O11" s="508"/>
      <c r="P11" s="508"/>
      <c r="Q11" s="508"/>
      <c r="R11" s="508"/>
      <c r="S11" s="508"/>
      <c r="T11" s="508"/>
      <c r="U11" s="509"/>
    </row>
    <row r="12" spans="2:21" ht="18" thickBot="1" x14ac:dyDescent="0.45">
      <c r="B12" s="496"/>
      <c r="C12" s="497"/>
      <c r="D12" s="360" t="s">
        <v>219</v>
      </c>
      <c r="E12" s="510" t="s">
        <v>317</v>
      </c>
      <c r="F12" s="511"/>
      <c r="G12" s="511"/>
      <c r="H12" s="511"/>
      <c r="I12" s="511"/>
      <c r="J12" s="511"/>
      <c r="K12" s="511"/>
      <c r="L12" s="511"/>
      <c r="M12" s="511"/>
      <c r="N12" s="511"/>
      <c r="O12" s="511"/>
      <c r="P12" s="511"/>
      <c r="Q12" s="511"/>
      <c r="R12" s="511"/>
      <c r="S12" s="511"/>
      <c r="T12" s="511"/>
      <c r="U12" s="512"/>
    </row>
    <row r="13" spans="2:21" ht="18" thickBot="1" x14ac:dyDescent="0.45">
      <c r="B13" s="496"/>
      <c r="C13" s="497"/>
      <c r="D13" s="392" t="s">
        <v>421</v>
      </c>
      <c r="E13" s="531" t="s">
        <v>424</v>
      </c>
      <c r="F13" s="532"/>
      <c r="G13" s="532"/>
      <c r="H13" s="532"/>
      <c r="I13" s="532"/>
      <c r="J13" s="532"/>
      <c r="K13" s="532"/>
      <c r="L13" s="532"/>
      <c r="M13" s="532"/>
      <c r="N13" s="532"/>
      <c r="O13" s="532"/>
      <c r="P13" s="532"/>
      <c r="Q13" s="532"/>
      <c r="R13" s="532"/>
      <c r="S13" s="532"/>
      <c r="T13" s="532"/>
      <c r="U13" s="533"/>
    </row>
    <row r="14" spans="2:21" ht="18" thickBot="1" x14ac:dyDescent="0.45">
      <c r="B14" s="496"/>
      <c r="C14" s="497"/>
      <c r="D14" s="359" t="s">
        <v>10</v>
      </c>
      <c r="E14" s="507" t="s">
        <v>318</v>
      </c>
      <c r="F14" s="508"/>
      <c r="G14" s="508"/>
      <c r="H14" s="508"/>
      <c r="I14" s="508"/>
      <c r="J14" s="508"/>
      <c r="K14" s="508"/>
      <c r="L14" s="508"/>
      <c r="M14" s="508"/>
      <c r="N14" s="508"/>
      <c r="O14" s="508"/>
      <c r="P14" s="508"/>
      <c r="Q14" s="508"/>
      <c r="R14" s="508"/>
      <c r="S14" s="508"/>
      <c r="T14" s="508"/>
      <c r="U14" s="509"/>
    </row>
    <row r="15" spans="2:21" ht="18" thickBot="1" x14ac:dyDescent="0.45">
      <c r="B15" s="496"/>
      <c r="C15" s="497"/>
      <c r="D15" s="361" t="s">
        <v>62</v>
      </c>
      <c r="E15" s="510" t="s">
        <v>319</v>
      </c>
      <c r="F15" s="511"/>
      <c r="G15" s="511"/>
      <c r="H15" s="511"/>
      <c r="I15" s="511"/>
      <c r="J15" s="511"/>
      <c r="K15" s="511"/>
      <c r="L15" s="511"/>
      <c r="M15" s="511"/>
      <c r="N15" s="511"/>
      <c r="O15" s="511"/>
      <c r="P15" s="511"/>
      <c r="Q15" s="511"/>
      <c r="R15" s="511"/>
      <c r="S15" s="511"/>
      <c r="T15" s="511"/>
      <c r="U15" s="512"/>
    </row>
    <row r="16" spans="2:21" ht="18" thickBot="1" x14ac:dyDescent="0.45">
      <c r="B16" s="496"/>
      <c r="C16" s="497"/>
      <c r="D16" s="362" t="s">
        <v>221</v>
      </c>
      <c r="E16" s="507" t="s">
        <v>320</v>
      </c>
      <c r="F16" s="508"/>
      <c r="G16" s="508"/>
      <c r="H16" s="508"/>
      <c r="I16" s="508"/>
      <c r="J16" s="508"/>
      <c r="K16" s="508"/>
      <c r="L16" s="508"/>
      <c r="M16" s="508"/>
      <c r="N16" s="508"/>
      <c r="O16" s="508"/>
      <c r="P16" s="508"/>
      <c r="Q16" s="508"/>
      <c r="R16" s="508"/>
      <c r="S16" s="508"/>
      <c r="T16" s="508"/>
      <c r="U16" s="509"/>
    </row>
    <row r="17" spans="2:21" ht="29.25" thickBot="1" x14ac:dyDescent="0.45">
      <c r="B17" s="496"/>
      <c r="C17" s="497"/>
      <c r="D17" s="361" t="s">
        <v>107</v>
      </c>
      <c r="E17" s="510" t="s">
        <v>321</v>
      </c>
      <c r="F17" s="511"/>
      <c r="G17" s="511"/>
      <c r="H17" s="511"/>
      <c r="I17" s="511"/>
      <c r="J17" s="511"/>
      <c r="K17" s="511"/>
      <c r="L17" s="511"/>
      <c r="M17" s="511"/>
      <c r="N17" s="511"/>
      <c r="O17" s="511"/>
      <c r="P17" s="511"/>
      <c r="Q17" s="511"/>
      <c r="R17" s="511"/>
      <c r="S17" s="511"/>
      <c r="T17" s="511"/>
      <c r="U17" s="512"/>
    </row>
    <row r="18" spans="2:21" ht="18" thickBot="1" x14ac:dyDescent="0.45">
      <c r="B18" s="496"/>
      <c r="C18" s="497"/>
      <c r="D18" s="362" t="s">
        <v>32</v>
      </c>
      <c r="E18" s="507" t="s">
        <v>322</v>
      </c>
      <c r="F18" s="508"/>
      <c r="G18" s="508"/>
      <c r="H18" s="508"/>
      <c r="I18" s="508"/>
      <c r="J18" s="508"/>
      <c r="K18" s="508"/>
      <c r="L18" s="508"/>
      <c r="M18" s="508"/>
      <c r="N18" s="508"/>
      <c r="O18" s="508"/>
      <c r="P18" s="508"/>
      <c r="Q18" s="508"/>
      <c r="R18" s="508"/>
      <c r="S18" s="508"/>
      <c r="T18" s="508"/>
      <c r="U18" s="509"/>
    </row>
    <row r="19" spans="2:21" ht="18" thickBot="1" x14ac:dyDescent="0.45">
      <c r="B19" s="496"/>
      <c r="C19" s="497"/>
      <c r="D19" s="360" t="s">
        <v>21</v>
      </c>
      <c r="E19" s="510" t="s">
        <v>323</v>
      </c>
      <c r="F19" s="511"/>
      <c r="G19" s="511"/>
      <c r="H19" s="511"/>
      <c r="I19" s="511"/>
      <c r="J19" s="511"/>
      <c r="K19" s="511"/>
      <c r="L19" s="511"/>
      <c r="M19" s="511"/>
      <c r="N19" s="511"/>
      <c r="O19" s="511"/>
      <c r="P19" s="511"/>
      <c r="Q19" s="511"/>
      <c r="R19" s="511"/>
      <c r="S19" s="511"/>
      <c r="T19" s="511"/>
      <c r="U19" s="512"/>
    </row>
    <row r="20" spans="2:21" ht="18" thickBot="1" x14ac:dyDescent="0.45">
      <c r="B20" s="496"/>
      <c r="C20" s="497"/>
      <c r="D20" s="362" t="s">
        <v>53</v>
      </c>
      <c r="E20" s="507" t="s">
        <v>325</v>
      </c>
      <c r="F20" s="508"/>
      <c r="G20" s="508"/>
      <c r="H20" s="508"/>
      <c r="I20" s="508"/>
      <c r="J20" s="508"/>
      <c r="K20" s="508"/>
      <c r="L20" s="508"/>
      <c r="M20" s="508"/>
      <c r="N20" s="508"/>
      <c r="O20" s="508"/>
      <c r="P20" s="508"/>
      <c r="Q20" s="508"/>
      <c r="R20" s="508"/>
      <c r="S20" s="508"/>
      <c r="T20" s="508"/>
      <c r="U20" s="509"/>
    </row>
    <row r="21" spans="2:21" ht="18" thickBot="1" x14ac:dyDescent="0.45">
      <c r="B21" s="496"/>
      <c r="C21" s="497"/>
      <c r="D21" s="361" t="s">
        <v>54</v>
      </c>
      <c r="E21" s="510" t="s">
        <v>326</v>
      </c>
      <c r="F21" s="511"/>
      <c r="G21" s="511"/>
      <c r="H21" s="511"/>
      <c r="I21" s="511"/>
      <c r="J21" s="511"/>
      <c r="K21" s="511"/>
      <c r="L21" s="511"/>
      <c r="M21" s="511"/>
      <c r="N21" s="511"/>
      <c r="O21" s="511"/>
      <c r="P21" s="511"/>
      <c r="Q21" s="511"/>
      <c r="R21" s="511"/>
      <c r="S21" s="511"/>
      <c r="T21" s="511"/>
      <c r="U21" s="512"/>
    </row>
    <row r="22" spans="2:21" ht="18" thickBot="1" x14ac:dyDescent="0.45">
      <c r="B22" s="496"/>
      <c r="C22" s="497"/>
      <c r="D22" s="362" t="s">
        <v>55</v>
      </c>
      <c r="E22" s="507" t="s">
        <v>327</v>
      </c>
      <c r="F22" s="508"/>
      <c r="G22" s="508"/>
      <c r="H22" s="508"/>
      <c r="I22" s="508"/>
      <c r="J22" s="508"/>
      <c r="K22" s="508"/>
      <c r="L22" s="508"/>
      <c r="M22" s="508"/>
      <c r="N22" s="508"/>
      <c r="O22" s="508"/>
      <c r="P22" s="508"/>
      <c r="Q22" s="508"/>
      <c r="R22" s="508"/>
      <c r="S22" s="508"/>
      <c r="T22" s="508"/>
      <c r="U22" s="509"/>
    </row>
    <row r="23" spans="2:21" ht="18" thickBot="1" x14ac:dyDescent="0.45">
      <c r="B23" s="494" t="s">
        <v>11</v>
      </c>
      <c r="C23" s="495"/>
      <c r="D23" s="363" t="s">
        <v>0</v>
      </c>
      <c r="E23" s="510" t="s">
        <v>328</v>
      </c>
      <c r="F23" s="511"/>
      <c r="G23" s="511"/>
      <c r="H23" s="511"/>
      <c r="I23" s="511"/>
      <c r="J23" s="511"/>
      <c r="K23" s="511"/>
      <c r="L23" s="511"/>
      <c r="M23" s="511"/>
      <c r="N23" s="511"/>
      <c r="O23" s="511"/>
      <c r="P23" s="511"/>
      <c r="Q23" s="511"/>
      <c r="R23" s="511"/>
      <c r="S23" s="511"/>
      <c r="T23" s="511"/>
      <c r="U23" s="512"/>
    </row>
    <row r="24" spans="2:21" ht="18" thickBot="1" x14ac:dyDescent="0.45">
      <c r="B24" s="496"/>
      <c r="C24" s="497"/>
      <c r="D24" s="358" t="s">
        <v>1</v>
      </c>
      <c r="E24" s="507" t="s">
        <v>329</v>
      </c>
      <c r="F24" s="508"/>
      <c r="G24" s="508"/>
      <c r="H24" s="508"/>
      <c r="I24" s="508"/>
      <c r="J24" s="508"/>
      <c r="K24" s="508"/>
      <c r="L24" s="508"/>
      <c r="M24" s="508"/>
      <c r="N24" s="508"/>
      <c r="O24" s="508"/>
      <c r="P24" s="508"/>
      <c r="Q24" s="508"/>
      <c r="R24" s="508"/>
      <c r="S24" s="508"/>
      <c r="T24" s="508"/>
      <c r="U24" s="509"/>
    </row>
    <row r="25" spans="2:21" ht="18" thickBot="1" x14ac:dyDescent="0.45">
      <c r="B25" s="496"/>
      <c r="C25" s="497"/>
      <c r="D25" s="363" t="s">
        <v>2</v>
      </c>
      <c r="E25" s="510" t="s">
        <v>330</v>
      </c>
      <c r="F25" s="511"/>
      <c r="G25" s="511"/>
      <c r="H25" s="511"/>
      <c r="I25" s="511"/>
      <c r="J25" s="511"/>
      <c r="K25" s="511"/>
      <c r="L25" s="511"/>
      <c r="M25" s="511"/>
      <c r="N25" s="511"/>
      <c r="O25" s="511"/>
      <c r="P25" s="511"/>
      <c r="Q25" s="511"/>
      <c r="R25" s="511"/>
      <c r="S25" s="511"/>
      <c r="T25" s="511"/>
      <c r="U25" s="512"/>
    </row>
    <row r="26" spans="2:21" ht="18" thickBot="1" x14ac:dyDescent="0.45">
      <c r="B26" s="496"/>
      <c r="C26" s="497"/>
      <c r="D26" s="358" t="s">
        <v>109</v>
      </c>
      <c r="E26" s="507" t="s">
        <v>331</v>
      </c>
      <c r="F26" s="508"/>
      <c r="G26" s="508"/>
      <c r="H26" s="508"/>
      <c r="I26" s="508"/>
      <c r="J26" s="508"/>
      <c r="K26" s="508"/>
      <c r="L26" s="508"/>
      <c r="M26" s="508"/>
      <c r="N26" s="508"/>
      <c r="O26" s="508"/>
      <c r="P26" s="508"/>
      <c r="Q26" s="508"/>
      <c r="R26" s="508"/>
      <c r="S26" s="508"/>
      <c r="T26" s="508"/>
      <c r="U26" s="509"/>
    </row>
    <row r="27" spans="2:21" ht="18" thickBot="1" x14ac:dyDescent="0.45">
      <c r="B27" s="496"/>
      <c r="C27" s="497"/>
      <c r="D27" s="363" t="s">
        <v>67</v>
      </c>
      <c r="E27" s="510" t="s">
        <v>332</v>
      </c>
      <c r="F27" s="511"/>
      <c r="G27" s="511"/>
      <c r="H27" s="511"/>
      <c r="I27" s="511"/>
      <c r="J27" s="511"/>
      <c r="K27" s="511"/>
      <c r="L27" s="511"/>
      <c r="M27" s="511"/>
      <c r="N27" s="511"/>
      <c r="O27" s="511"/>
      <c r="P27" s="511"/>
      <c r="Q27" s="511"/>
      <c r="R27" s="511"/>
      <c r="S27" s="511"/>
      <c r="T27" s="511"/>
      <c r="U27" s="512"/>
    </row>
    <row r="28" spans="2:21" ht="18" thickBot="1" x14ac:dyDescent="0.45">
      <c r="B28" s="496"/>
      <c r="C28" s="497"/>
      <c r="D28" s="358" t="s">
        <v>110</v>
      </c>
      <c r="E28" s="507" t="s">
        <v>333</v>
      </c>
      <c r="F28" s="508"/>
      <c r="G28" s="508"/>
      <c r="H28" s="508"/>
      <c r="I28" s="508"/>
      <c r="J28" s="508"/>
      <c r="K28" s="508"/>
      <c r="L28" s="508"/>
      <c r="M28" s="508"/>
      <c r="N28" s="508"/>
      <c r="O28" s="508"/>
      <c r="P28" s="508"/>
      <c r="Q28" s="508"/>
      <c r="R28" s="508"/>
      <c r="S28" s="508"/>
      <c r="T28" s="508"/>
      <c r="U28" s="509"/>
    </row>
    <row r="29" spans="2:21" ht="18" thickBot="1" x14ac:dyDescent="0.45">
      <c r="B29" s="496"/>
      <c r="C29" s="497"/>
      <c r="D29" s="363" t="s">
        <v>23</v>
      </c>
      <c r="E29" s="510" t="s">
        <v>334</v>
      </c>
      <c r="F29" s="511"/>
      <c r="G29" s="511"/>
      <c r="H29" s="511"/>
      <c r="I29" s="511"/>
      <c r="J29" s="511"/>
      <c r="K29" s="511"/>
      <c r="L29" s="511"/>
      <c r="M29" s="511"/>
      <c r="N29" s="511"/>
      <c r="O29" s="511"/>
      <c r="P29" s="511"/>
      <c r="Q29" s="511"/>
      <c r="R29" s="511"/>
      <c r="S29" s="511"/>
      <c r="T29" s="511"/>
      <c r="U29" s="512"/>
    </row>
    <row r="30" spans="2:21" ht="18" thickBot="1" x14ac:dyDescent="0.45">
      <c r="B30" s="498"/>
      <c r="C30" s="499"/>
      <c r="D30" s="358" t="s">
        <v>108</v>
      </c>
      <c r="E30" s="507" t="s">
        <v>335</v>
      </c>
      <c r="F30" s="508"/>
      <c r="G30" s="508"/>
      <c r="H30" s="508"/>
      <c r="I30" s="508"/>
      <c r="J30" s="508"/>
      <c r="K30" s="508"/>
      <c r="L30" s="508"/>
      <c r="M30" s="508"/>
      <c r="N30" s="508"/>
      <c r="O30" s="508"/>
      <c r="P30" s="508"/>
      <c r="Q30" s="508"/>
      <c r="R30" s="508"/>
      <c r="S30" s="508"/>
      <c r="T30" s="508"/>
      <c r="U30" s="509"/>
    </row>
    <row r="31" spans="2:21" ht="18" thickBot="1" x14ac:dyDescent="0.45">
      <c r="B31" s="494" t="s">
        <v>4</v>
      </c>
      <c r="C31" s="495"/>
      <c r="D31" s="363" t="s">
        <v>29</v>
      </c>
      <c r="E31" s="510" t="s">
        <v>336</v>
      </c>
      <c r="F31" s="511"/>
      <c r="G31" s="511"/>
      <c r="H31" s="511"/>
      <c r="I31" s="511"/>
      <c r="J31" s="511"/>
      <c r="K31" s="511"/>
      <c r="L31" s="511"/>
      <c r="M31" s="511"/>
      <c r="N31" s="511"/>
      <c r="O31" s="511"/>
      <c r="P31" s="511"/>
      <c r="Q31" s="511"/>
      <c r="R31" s="511"/>
      <c r="S31" s="511"/>
      <c r="T31" s="511"/>
      <c r="U31" s="512"/>
    </row>
    <row r="32" spans="2:21" ht="18" thickBot="1" x14ac:dyDescent="0.45">
      <c r="B32" s="496"/>
      <c r="C32" s="497"/>
      <c r="D32" s="358" t="s">
        <v>31</v>
      </c>
      <c r="E32" s="507" t="s">
        <v>337</v>
      </c>
      <c r="F32" s="508"/>
      <c r="G32" s="508"/>
      <c r="H32" s="508"/>
      <c r="I32" s="508"/>
      <c r="J32" s="508"/>
      <c r="K32" s="508"/>
      <c r="L32" s="508"/>
      <c r="M32" s="508"/>
      <c r="N32" s="508"/>
      <c r="O32" s="508"/>
      <c r="P32" s="508"/>
      <c r="Q32" s="508"/>
      <c r="R32" s="508"/>
      <c r="S32" s="508"/>
      <c r="T32" s="508"/>
      <c r="U32" s="509"/>
    </row>
    <row r="33" spans="2:21" ht="18" thickBot="1" x14ac:dyDescent="0.45">
      <c r="B33" s="496"/>
      <c r="C33" s="497"/>
      <c r="D33" s="363" t="s">
        <v>30</v>
      </c>
      <c r="E33" s="510" t="s">
        <v>338</v>
      </c>
      <c r="F33" s="511"/>
      <c r="G33" s="511"/>
      <c r="H33" s="511"/>
      <c r="I33" s="511"/>
      <c r="J33" s="511"/>
      <c r="K33" s="511"/>
      <c r="L33" s="511"/>
      <c r="M33" s="511"/>
      <c r="N33" s="511"/>
      <c r="O33" s="511"/>
      <c r="P33" s="511"/>
      <c r="Q33" s="511"/>
      <c r="R33" s="511"/>
      <c r="S33" s="511"/>
      <c r="T33" s="511"/>
      <c r="U33" s="512"/>
    </row>
    <row r="34" spans="2:21" ht="18" thickBot="1" x14ac:dyDescent="0.45">
      <c r="B34" s="496"/>
      <c r="C34" s="497"/>
      <c r="D34" s="367" t="s">
        <v>15</v>
      </c>
      <c r="E34" s="531" t="s">
        <v>339</v>
      </c>
      <c r="F34" s="532"/>
      <c r="G34" s="532"/>
      <c r="H34" s="532"/>
      <c r="I34" s="532"/>
      <c r="J34" s="532"/>
      <c r="K34" s="532"/>
      <c r="L34" s="532"/>
      <c r="M34" s="532"/>
      <c r="N34" s="532"/>
      <c r="O34" s="532"/>
      <c r="P34" s="532"/>
      <c r="Q34" s="532"/>
      <c r="R34" s="532"/>
      <c r="S34" s="532"/>
      <c r="T34" s="532"/>
      <c r="U34" s="533"/>
    </row>
    <row r="35" spans="2:21" ht="18" thickBot="1" x14ac:dyDescent="0.45">
      <c r="B35" s="498"/>
      <c r="C35" s="499"/>
      <c r="D35" s="393" t="s">
        <v>422</v>
      </c>
      <c r="E35" s="507" t="s">
        <v>423</v>
      </c>
      <c r="F35" s="508"/>
      <c r="G35" s="508"/>
      <c r="H35" s="508"/>
      <c r="I35" s="508"/>
      <c r="J35" s="508"/>
      <c r="K35" s="508"/>
      <c r="L35" s="508"/>
      <c r="M35" s="508"/>
      <c r="N35" s="508"/>
      <c r="O35" s="508"/>
      <c r="P35" s="508"/>
      <c r="Q35" s="508"/>
      <c r="R35" s="508"/>
      <c r="S35" s="508"/>
      <c r="T35" s="508"/>
      <c r="U35" s="509"/>
    </row>
    <row r="36" spans="2:21" ht="18" thickBot="1" x14ac:dyDescent="0.45">
      <c r="B36" s="494" t="s">
        <v>5</v>
      </c>
      <c r="C36" s="495"/>
      <c r="D36" s="363" t="s">
        <v>28</v>
      </c>
      <c r="E36" s="510" t="s">
        <v>340</v>
      </c>
      <c r="F36" s="511"/>
      <c r="G36" s="511"/>
      <c r="H36" s="511"/>
      <c r="I36" s="511"/>
      <c r="J36" s="511"/>
      <c r="K36" s="511"/>
      <c r="L36" s="511"/>
      <c r="M36" s="511"/>
      <c r="N36" s="511"/>
      <c r="O36" s="511"/>
      <c r="P36" s="511"/>
      <c r="Q36" s="511"/>
      <c r="R36" s="511"/>
      <c r="S36" s="511"/>
      <c r="T36" s="511"/>
      <c r="U36" s="512"/>
    </row>
    <row r="37" spans="2:21" ht="18" thickBot="1" x14ac:dyDescent="0.45">
      <c r="B37" s="496"/>
      <c r="C37" s="497"/>
      <c r="D37" s="358" t="s">
        <v>27</v>
      </c>
      <c r="E37" s="507" t="s">
        <v>341</v>
      </c>
      <c r="F37" s="508"/>
      <c r="G37" s="508"/>
      <c r="H37" s="508"/>
      <c r="I37" s="508"/>
      <c r="J37" s="508"/>
      <c r="K37" s="508"/>
      <c r="L37" s="508"/>
      <c r="M37" s="508"/>
      <c r="N37" s="508"/>
      <c r="O37" s="508"/>
      <c r="P37" s="508"/>
      <c r="Q37" s="508"/>
      <c r="R37" s="508"/>
      <c r="S37" s="508"/>
      <c r="T37" s="508"/>
      <c r="U37" s="509"/>
    </row>
    <row r="38" spans="2:21" ht="29.25" thickBot="1" x14ac:dyDescent="0.45">
      <c r="B38" s="496"/>
      <c r="C38" s="497"/>
      <c r="D38" s="363" t="s">
        <v>70</v>
      </c>
      <c r="E38" s="510" t="s">
        <v>342</v>
      </c>
      <c r="F38" s="511"/>
      <c r="G38" s="511"/>
      <c r="H38" s="511"/>
      <c r="I38" s="511"/>
      <c r="J38" s="511"/>
      <c r="K38" s="511"/>
      <c r="L38" s="511"/>
      <c r="M38" s="511"/>
      <c r="N38" s="511"/>
      <c r="O38" s="511"/>
      <c r="P38" s="511"/>
      <c r="Q38" s="511"/>
      <c r="R38" s="511"/>
      <c r="S38" s="511"/>
      <c r="T38" s="511"/>
      <c r="U38" s="512"/>
    </row>
    <row r="39" spans="2:21" ht="18" thickBot="1" x14ac:dyDescent="0.45">
      <c r="B39" s="496"/>
      <c r="C39" s="497"/>
      <c r="D39" s="358" t="s">
        <v>26</v>
      </c>
      <c r="E39" s="507" t="s">
        <v>343</v>
      </c>
      <c r="F39" s="508"/>
      <c r="G39" s="508"/>
      <c r="H39" s="508"/>
      <c r="I39" s="508"/>
      <c r="J39" s="508"/>
      <c r="K39" s="508"/>
      <c r="L39" s="508"/>
      <c r="M39" s="508"/>
      <c r="N39" s="508"/>
      <c r="O39" s="508"/>
      <c r="P39" s="508"/>
      <c r="Q39" s="508"/>
      <c r="R39" s="508"/>
      <c r="S39" s="508"/>
      <c r="T39" s="508"/>
      <c r="U39" s="509"/>
    </row>
    <row r="40" spans="2:21" ht="18" thickBot="1" x14ac:dyDescent="0.45">
      <c r="B40" s="498"/>
      <c r="C40" s="499"/>
      <c r="D40" s="363" t="s">
        <v>6</v>
      </c>
      <c r="E40" s="510" t="s">
        <v>344</v>
      </c>
      <c r="F40" s="511"/>
      <c r="G40" s="511"/>
      <c r="H40" s="511"/>
      <c r="I40" s="511"/>
      <c r="J40" s="511"/>
      <c r="K40" s="511"/>
      <c r="L40" s="511"/>
      <c r="M40" s="511"/>
      <c r="N40" s="511"/>
      <c r="O40" s="511"/>
      <c r="P40" s="511"/>
      <c r="Q40" s="511"/>
      <c r="R40" s="511"/>
      <c r="S40" s="511"/>
      <c r="T40" s="511"/>
      <c r="U40" s="512"/>
    </row>
    <row r="41" spans="2:21" ht="18" thickBot="1" x14ac:dyDescent="0.45">
      <c r="B41" s="494" t="s">
        <v>16</v>
      </c>
      <c r="C41" s="495"/>
      <c r="D41" s="358" t="s">
        <v>324</v>
      </c>
      <c r="E41" s="507" t="s">
        <v>345</v>
      </c>
      <c r="F41" s="508"/>
      <c r="G41" s="508"/>
      <c r="H41" s="508"/>
      <c r="I41" s="508"/>
      <c r="J41" s="508"/>
      <c r="K41" s="508"/>
      <c r="L41" s="508"/>
      <c r="M41" s="508"/>
      <c r="N41" s="508"/>
      <c r="O41" s="508"/>
      <c r="P41" s="508"/>
      <c r="Q41" s="508"/>
      <c r="R41" s="508"/>
      <c r="S41" s="508"/>
      <c r="T41" s="508"/>
      <c r="U41" s="509"/>
    </row>
    <row r="42" spans="2:21" ht="18" thickBot="1" x14ac:dyDescent="0.45">
      <c r="B42" s="496"/>
      <c r="C42" s="497"/>
      <c r="D42" s="363" t="s">
        <v>111</v>
      </c>
      <c r="E42" s="510" t="s">
        <v>356</v>
      </c>
      <c r="F42" s="511"/>
      <c r="G42" s="511"/>
      <c r="H42" s="511"/>
      <c r="I42" s="511"/>
      <c r="J42" s="511"/>
      <c r="K42" s="511"/>
      <c r="L42" s="511"/>
      <c r="M42" s="511"/>
      <c r="N42" s="511"/>
      <c r="O42" s="511"/>
      <c r="P42" s="511"/>
      <c r="Q42" s="511"/>
      <c r="R42" s="511"/>
      <c r="S42" s="511"/>
      <c r="T42" s="511"/>
      <c r="U42" s="512"/>
    </row>
    <row r="43" spans="2:21" ht="18" thickBot="1" x14ac:dyDescent="0.45">
      <c r="B43" s="496"/>
      <c r="C43" s="497"/>
      <c r="D43" s="358" t="s">
        <v>57</v>
      </c>
      <c r="E43" s="507" t="s">
        <v>357</v>
      </c>
      <c r="F43" s="508"/>
      <c r="G43" s="508"/>
      <c r="H43" s="508"/>
      <c r="I43" s="508"/>
      <c r="J43" s="508"/>
      <c r="K43" s="508"/>
      <c r="L43" s="508"/>
      <c r="M43" s="508"/>
      <c r="N43" s="508"/>
      <c r="O43" s="508"/>
      <c r="P43" s="508"/>
      <c r="Q43" s="508"/>
      <c r="R43" s="508"/>
      <c r="S43" s="508"/>
      <c r="T43" s="508"/>
      <c r="U43" s="509"/>
    </row>
    <row r="44" spans="2:21" ht="18" thickBot="1" x14ac:dyDescent="0.45">
      <c r="B44" s="496"/>
      <c r="C44" s="497"/>
      <c r="D44" s="363" t="s">
        <v>112</v>
      </c>
      <c r="E44" s="510" t="s">
        <v>358</v>
      </c>
      <c r="F44" s="511"/>
      <c r="G44" s="511"/>
      <c r="H44" s="511"/>
      <c r="I44" s="511"/>
      <c r="J44" s="511"/>
      <c r="K44" s="511"/>
      <c r="L44" s="511"/>
      <c r="M44" s="511"/>
      <c r="N44" s="511"/>
      <c r="O44" s="511"/>
      <c r="P44" s="511"/>
      <c r="Q44" s="511"/>
      <c r="R44" s="511"/>
      <c r="S44" s="511"/>
      <c r="T44" s="511"/>
      <c r="U44" s="512"/>
    </row>
    <row r="45" spans="2:21" ht="18" thickBot="1" x14ac:dyDescent="0.45">
      <c r="B45" s="496"/>
      <c r="C45" s="497"/>
      <c r="D45" s="358" t="s">
        <v>17</v>
      </c>
      <c r="E45" s="507" t="s">
        <v>359</v>
      </c>
      <c r="F45" s="508"/>
      <c r="G45" s="508"/>
      <c r="H45" s="508"/>
      <c r="I45" s="508"/>
      <c r="J45" s="508"/>
      <c r="K45" s="508"/>
      <c r="L45" s="508"/>
      <c r="M45" s="508"/>
      <c r="N45" s="508"/>
      <c r="O45" s="508"/>
      <c r="P45" s="508"/>
      <c r="Q45" s="508"/>
      <c r="R45" s="508"/>
      <c r="S45" s="508"/>
      <c r="T45" s="508"/>
      <c r="U45" s="509"/>
    </row>
    <row r="46" spans="2:21" ht="18" thickBot="1" x14ac:dyDescent="0.45">
      <c r="B46" s="496"/>
      <c r="C46" s="497"/>
      <c r="D46" s="363" t="s">
        <v>7</v>
      </c>
      <c r="E46" s="510" t="s">
        <v>360</v>
      </c>
      <c r="F46" s="511"/>
      <c r="G46" s="511"/>
      <c r="H46" s="511"/>
      <c r="I46" s="511"/>
      <c r="J46" s="511"/>
      <c r="K46" s="511"/>
      <c r="L46" s="511"/>
      <c r="M46" s="511"/>
      <c r="N46" s="511"/>
      <c r="O46" s="511"/>
      <c r="P46" s="511"/>
      <c r="Q46" s="511"/>
      <c r="R46" s="511"/>
      <c r="S46" s="511"/>
      <c r="T46" s="511"/>
      <c r="U46" s="512"/>
    </row>
    <row r="47" spans="2:21" ht="18" thickBot="1" x14ac:dyDescent="0.45">
      <c r="B47" s="496"/>
      <c r="C47" s="497"/>
      <c r="D47" s="358" t="s">
        <v>113</v>
      </c>
      <c r="E47" s="507" t="s">
        <v>361</v>
      </c>
      <c r="F47" s="508"/>
      <c r="G47" s="508"/>
      <c r="H47" s="508"/>
      <c r="I47" s="508"/>
      <c r="J47" s="508"/>
      <c r="K47" s="508"/>
      <c r="L47" s="508"/>
      <c r="M47" s="508"/>
      <c r="N47" s="508"/>
      <c r="O47" s="508"/>
      <c r="P47" s="508"/>
      <c r="Q47" s="508"/>
      <c r="R47" s="508"/>
      <c r="S47" s="508"/>
      <c r="T47" s="508"/>
      <c r="U47" s="509"/>
    </row>
    <row r="48" spans="2:21" ht="18" thickBot="1" x14ac:dyDescent="0.45">
      <c r="B48" s="496"/>
      <c r="C48" s="497"/>
      <c r="D48" s="363" t="s">
        <v>18</v>
      </c>
      <c r="E48" s="510" t="s">
        <v>362</v>
      </c>
      <c r="F48" s="511"/>
      <c r="G48" s="511"/>
      <c r="H48" s="511"/>
      <c r="I48" s="511"/>
      <c r="J48" s="511"/>
      <c r="K48" s="511"/>
      <c r="L48" s="511"/>
      <c r="M48" s="511"/>
      <c r="N48" s="511"/>
      <c r="O48" s="511"/>
      <c r="P48" s="511"/>
      <c r="Q48" s="511"/>
      <c r="R48" s="511"/>
      <c r="S48" s="511"/>
      <c r="T48" s="511"/>
      <c r="U48" s="512"/>
    </row>
    <row r="49" spans="2:21" ht="29.25" thickBot="1" x14ac:dyDescent="0.45">
      <c r="B49" s="496"/>
      <c r="C49" s="497"/>
      <c r="D49" s="358" t="s">
        <v>19</v>
      </c>
      <c r="E49" s="507" t="s">
        <v>363</v>
      </c>
      <c r="F49" s="508"/>
      <c r="G49" s="508"/>
      <c r="H49" s="508"/>
      <c r="I49" s="508"/>
      <c r="J49" s="508"/>
      <c r="K49" s="508"/>
      <c r="L49" s="508"/>
      <c r="M49" s="508"/>
      <c r="N49" s="508"/>
      <c r="O49" s="508"/>
      <c r="P49" s="508"/>
      <c r="Q49" s="508"/>
      <c r="R49" s="508"/>
      <c r="S49" s="508"/>
      <c r="T49" s="508"/>
      <c r="U49" s="509"/>
    </row>
    <row r="50" spans="2:21" ht="29.25" thickBot="1" x14ac:dyDescent="0.45">
      <c r="B50" s="494" t="s">
        <v>115</v>
      </c>
      <c r="C50" s="495"/>
      <c r="D50" s="363" t="s">
        <v>114</v>
      </c>
      <c r="E50" s="510" t="s">
        <v>364</v>
      </c>
      <c r="F50" s="511"/>
      <c r="G50" s="511"/>
      <c r="H50" s="511"/>
      <c r="I50" s="511"/>
      <c r="J50" s="511"/>
      <c r="K50" s="511"/>
      <c r="L50" s="511"/>
      <c r="M50" s="511"/>
      <c r="N50" s="511"/>
      <c r="O50" s="511"/>
      <c r="P50" s="511"/>
      <c r="Q50" s="511"/>
      <c r="R50" s="511"/>
      <c r="S50" s="511"/>
      <c r="T50" s="511"/>
      <c r="U50" s="512"/>
    </row>
    <row r="51" spans="2:21" ht="18" thickBot="1" x14ac:dyDescent="0.45">
      <c r="B51" s="496"/>
      <c r="C51" s="497"/>
      <c r="D51" s="358" t="s">
        <v>63</v>
      </c>
      <c r="E51" s="507" t="s">
        <v>365</v>
      </c>
      <c r="F51" s="508"/>
      <c r="G51" s="508"/>
      <c r="H51" s="508"/>
      <c r="I51" s="508"/>
      <c r="J51" s="508"/>
      <c r="K51" s="508"/>
      <c r="L51" s="508"/>
      <c r="M51" s="508"/>
      <c r="N51" s="508"/>
      <c r="O51" s="508"/>
      <c r="P51" s="508"/>
      <c r="Q51" s="508"/>
      <c r="R51" s="508"/>
      <c r="S51" s="508"/>
      <c r="T51" s="508"/>
      <c r="U51" s="509"/>
    </row>
    <row r="52" spans="2:21" ht="18" thickBot="1" x14ac:dyDescent="0.45">
      <c r="B52" s="496"/>
      <c r="C52" s="497"/>
      <c r="D52" s="363" t="s">
        <v>34</v>
      </c>
      <c r="E52" s="510" t="s">
        <v>366</v>
      </c>
      <c r="F52" s="511"/>
      <c r="G52" s="511"/>
      <c r="H52" s="511"/>
      <c r="I52" s="511"/>
      <c r="J52" s="511"/>
      <c r="K52" s="511"/>
      <c r="L52" s="511"/>
      <c r="M52" s="511"/>
      <c r="N52" s="511"/>
      <c r="O52" s="511"/>
      <c r="P52" s="511"/>
      <c r="Q52" s="511"/>
      <c r="R52" s="511"/>
      <c r="S52" s="511"/>
      <c r="T52" s="511"/>
      <c r="U52" s="512"/>
    </row>
    <row r="53" spans="2:21" ht="18" thickBot="1" x14ac:dyDescent="0.45">
      <c r="B53" s="496"/>
      <c r="C53" s="497"/>
      <c r="D53" s="358" t="s">
        <v>116</v>
      </c>
      <c r="E53" s="507" t="s">
        <v>367</v>
      </c>
      <c r="F53" s="508"/>
      <c r="G53" s="508"/>
      <c r="H53" s="508"/>
      <c r="I53" s="508"/>
      <c r="J53" s="508"/>
      <c r="K53" s="508"/>
      <c r="L53" s="508"/>
      <c r="M53" s="508"/>
      <c r="N53" s="508"/>
      <c r="O53" s="508"/>
      <c r="P53" s="508"/>
      <c r="Q53" s="508"/>
      <c r="R53" s="508"/>
      <c r="S53" s="508"/>
      <c r="T53" s="508"/>
      <c r="U53" s="509"/>
    </row>
    <row r="54" spans="2:21" ht="18" thickBot="1" x14ac:dyDescent="0.45">
      <c r="B54" s="496"/>
      <c r="C54" s="497"/>
      <c r="D54" s="363" t="s">
        <v>117</v>
      </c>
      <c r="E54" s="510" t="s">
        <v>368</v>
      </c>
      <c r="F54" s="511"/>
      <c r="G54" s="511"/>
      <c r="H54" s="511"/>
      <c r="I54" s="511"/>
      <c r="J54" s="511"/>
      <c r="K54" s="511"/>
      <c r="L54" s="511"/>
      <c r="M54" s="511"/>
      <c r="N54" s="511"/>
      <c r="O54" s="511"/>
      <c r="P54" s="511"/>
      <c r="Q54" s="511"/>
      <c r="R54" s="511"/>
      <c r="S54" s="511"/>
      <c r="T54" s="511"/>
      <c r="U54" s="512"/>
    </row>
    <row r="55" spans="2:21" ht="18" thickBot="1" x14ac:dyDescent="0.45">
      <c r="B55" s="496"/>
      <c r="C55" s="497"/>
      <c r="D55" s="358" t="s">
        <v>118</v>
      </c>
      <c r="E55" s="507" t="s">
        <v>369</v>
      </c>
      <c r="F55" s="508"/>
      <c r="G55" s="508"/>
      <c r="H55" s="508"/>
      <c r="I55" s="508"/>
      <c r="J55" s="508"/>
      <c r="K55" s="508"/>
      <c r="L55" s="508"/>
      <c r="M55" s="508"/>
      <c r="N55" s="508"/>
      <c r="O55" s="508"/>
      <c r="P55" s="508"/>
      <c r="Q55" s="508"/>
      <c r="R55" s="508"/>
      <c r="S55" s="508"/>
      <c r="T55" s="508"/>
      <c r="U55" s="509"/>
    </row>
    <row r="56" spans="2:21" ht="18" thickBot="1" x14ac:dyDescent="0.45">
      <c r="B56" s="496"/>
      <c r="C56" s="497"/>
      <c r="D56" s="363" t="s">
        <v>119</v>
      </c>
      <c r="E56" s="510" t="s">
        <v>370</v>
      </c>
      <c r="F56" s="511"/>
      <c r="G56" s="511"/>
      <c r="H56" s="511"/>
      <c r="I56" s="511"/>
      <c r="J56" s="511"/>
      <c r="K56" s="511"/>
      <c r="L56" s="511"/>
      <c r="M56" s="511"/>
      <c r="N56" s="511"/>
      <c r="O56" s="511"/>
      <c r="P56" s="511"/>
      <c r="Q56" s="511"/>
      <c r="R56" s="511"/>
      <c r="S56" s="511"/>
      <c r="T56" s="511"/>
      <c r="U56" s="512"/>
    </row>
    <row r="57" spans="2:21" ht="18" thickBot="1" x14ac:dyDescent="0.45">
      <c r="B57" s="496"/>
      <c r="C57" s="497"/>
      <c r="D57" s="358" t="s">
        <v>120</v>
      </c>
      <c r="E57" s="507" t="s">
        <v>370</v>
      </c>
      <c r="F57" s="508"/>
      <c r="G57" s="508"/>
      <c r="H57" s="508"/>
      <c r="I57" s="508"/>
      <c r="J57" s="508"/>
      <c r="K57" s="508"/>
      <c r="L57" s="508"/>
      <c r="M57" s="508"/>
      <c r="N57" s="508"/>
      <c r="O57" s="508"/>
      <c r="P57" s="508"/>
      <c r="Q57" s="508"/>
      <c r="R57" s="508"/>
      <c r="S57" s="508"/>
      <c r="T57" s="508"/>
      <c r="U57" s="509"/>
    </row>
    <row r="58" spans="2:21" ht="18" thickBot="1" x14ac:dyDescent="0.45">
      <c r="B58" s="496"/>
      <c r="C58" s="497"/>
      <c r="D58" s="363" t="s">
        <v>121</v>
      </c>
      <c r="E58" s="510" t="s">
        <v>371</v>
      </c>
      <c r="F58" s="511"/>
      <c r="G58" s="511"/>
      <c r="H58" s="511"/>
      <c r="I58" s="511"/>
      <c r="J58" s="511"/>
      <c r="K58" s="511"/>
      <c r="L58" s="511"/>
      <c r="M58" s="511"/>
      <c r="N58" s="511"/>
      <c r="O58" s="511"/>
      <c r="P58" s="511"/>
      <c r="Q58" s="511"/>
      <c r="R58" s="511"/>
      <c r="S58" s="511"/>
      <c r="T58" s="511"/>
      <c r="U58" s="512"/>
    </row>
    <row r="59" spans="2:21" ht="36.75" customHeight="1" thickBot="1" x14ac:dyDescent="0.45">
      <c r="B59" s="496"/>
      <c r="C59" s="497"/>
      <c r="D59" s="358" t="s">
        <v>122</v>
      </c>
      <c r="E59" s="525" t="s">
        <v>372</v>
      </c>
      <c r="F59" s="526"/>
      <c r="G59" s="526"/>
      <c r="H59" s="526"/>
      <c r="I59" s="526"/>
      <c r="J59" s="526"/>
      <c r="K59" s="526"/>
      <c r="L59" s="526"/>
      <c r="M59" s="526"/>
      <c r="N59" s="526"/>
      <c r="O59" s="526"/>
      <c r="P59" s="526"/>
      <c r="Q59" s="526"/>
      <c r="R59" s="526"/>
      <c r="S59" s="526"/>
      <c r="T59" s="526"/>
      <c r="U59" s="527"/>
    </row>
    <row r="60" spans="2:21" ht="18" thickBot="1" x14ac:dyDescent="0.45">
      <c r="B60" s="496"/>
      <c r="C60" s="497"/>
      <c r="D60" s="363" t="s">
        <v>61</v>
      </c>
      <c r="E60" s="510" t="s">
        <v>373</v>
      </c>
      <c r="F60" s="511"/>
      <c r="G60" s="511"/>
      <c r="H60" s="511"/>
      <c r="I60" s="511"/>
      <c r="J60" s="511"/>
      <c r="K60" s="511"/>
      <c r="L60" s="511"/>
      <c r="M60" s="511"/>
      <c r="N60" s="511"/>
      <c r="O60" s="511"/>
      <c r="P60" s="511"/>
      <c r="Q60" s="511"/>
      <c r="R60" s="511"/>
      <c r="S60" s="511"/>
      <c r="T60" s="511"/>
      <c r="U60" s="512"/>
    </row>
    <row r="61" spans="2:21" ht="18" thickBot="1" x14ac:dyDescent="0.45">
      <c r="B61" s="496"/>
      <c r="C61" s="497"/>
      <c r="D61" s="359" t="s">
        <v>39</v>
      </c>
      <c r="E61" s="507" t="s">
        <v>374</v>
      </c>
      <c r="F61" s="508"/>
      <c r="G61" s="508"/>
      <c r="H61" s="508"/>
      <c r="I61" s="508"/>
      <c r="J61" s="508"/>
      <c r="K61" s="508"/>
      <c r="L61" s="508"/>
      <c r="M61" s="508"/>
      <c r="N61" s="508"/>
      <c r="O61" s="508"/>
      <c r="P61" s="508"/>
      <c r="Q61" s="508"/>
      <c r="R61" s="508"/>
      <c r="S61" s="508"/>
      <c r="T61" s="508"/>
      <c r="U61" s="509"/>
    </row>
    <row r="62" spans="2:21" ht="29.25" thickBot="1" x14ac:dyDescent="0.45">
      <c r="B62" s="496"/>
      <c r="C62" s="497"/>
      <c r="D62" s="363" t="s">
        <v>123</v>
      </c>
      <c r="E62" s="510" t="s">
        <v>375</v>
      </c>
      <c r="F62" s="511"/>
      <c r="G62" s="511"/>
      <c r="H62" s="511"/>
      <c r="I62" s="511"/>
      <c r="J62" s="511"/>
      <c r="K62" s="511"/>
      <c r="L62" s="511"/>
      <c r="M62" s="511"/>
      <c r="N62" s="511"/>
      <c r="O62" s="511"/>
      <c r="P62" s="511"/>
      <c r="Q62" s="511"/>
      <c r="R62" s="511"/>
      <c r="S62" s="511"/>
      <c r="T62" s="511"/>
      <c r="U62" s="512"/>
    </row>
    <row r="63" spans="2:21" ht="43.5" thickBot="1" x14ac:dyDescent="0.45">
      <c r="B63" s="496"/>
      <c r="C63" s="497"/>
      <c r="D63" s="359" t="s">
        <v>124</v>
      </c>
      <c r="E63" s="507" t="s">
        <v>374</v>
      </c>
      <c r="F63" s="508"/>
      <c r="G63" s="508"/>
      <c r="H63" s="508"/>
      <c r="I63" s="508"/>
      <c r="J63" s="508"/>
      <c r="K63" s="508"/>
      <c r="L63" s="508"/>
      <c r="M63" s="508"/>
      <c r="N63" s="508"/>
      <c r="O63" s="508"/>
      <c r="P63" s="508"/>
      <c r="Q63" s="508"/>
      <c r="R63" s="508"/>
      <c r="S63" s="508"/>
      <c r="T63" s="508"/>
      <c r="U63" s="509"/>
    </row>
    <row r="64" spans="2:21" ht="18" thickBot="1" x14ac:dyDescent="0.45">
      <c r="B64" s="496"/>
      <c r="C64" s="497"/>
      <c r="D64" s="360" t="s">
        <v>125</v>
      </c>
      <c r="E64" s="510" t="s">
        <v>376</v>
      </c>
      <c r="F64" s="511"/>
      <c r="G64" s="511"/>
      <c r="H64" s="511"/>
      <c r="I64" s="511"/>
      <c r="J64" s="511"/>
      <c r="K64" s="511"/>
      <c r="L64" s="511"/>
      <c r="M64" s="511"/>
      <c r="N64" s="511"/>
      <c r="O64" s="511"/>
      <c r="P64" s="511"/>
      <c r="Q64" s="511"/>
      <c r="R64" s="511"/>
      <c r="S64" s="511"/>
      <c r="T64" s="511"/>
      <c r="U64" s="512"/>
    </row>
    <row r="65" spans="2:21" ht="18" thickBot="1" x14ac:dyDescent="0.45">
      <c r="B65" s="496"/>
      <c r="C65" s="497"/>
      <c r="D65" s="358" t="s">
        <v>13</v>
      </c>
      <c r="E65" s="507" t="s">
        <v>377</v>
      </c>
      <c r="F65" s="508"/>
      <c r="G65" s="508"/>
      <c r="H65" s="508"/>
      <c r="I65" s="508"/>
      <c r="J65" s="508"/>
      <c r="K65" s="508"/>
      <c r="L65" s="508"/>
      <c r="M65" s="508"/>
      <c r="N65" s="508"/>
      <c r="O65" s="508"/>
      <c r="P65" s="508"/>
      <c r="Q65" s="508"/>
      <c r="R65" s="508"/>
      <c r="S65" s="508"/>
      <c r="T65" s="508"/>
      <c r="U65" s="509"/>
    </row>
    <row r="66" spans="2:21" ht="18" thickBot="1" x14ac:dyDescent="0.45">
      <c r="B66" s="496"/>
      <c r="C66" s="497"/>
      <c r="D66" s="363" t="s">
        <v>12</v>
      </c>
      <c r="E66" s="510" t="s">
        <v>377</v>
      </c>
      <c r="F66" s="511"/>
      <c r="G66" s="511"/>
      <c r="H66" s="511"/>
      <c r="I66" s="511"/>
      <c r="J66" s="511"/>
      <c r="K66" s="511"/>
      <c r="L66" s="511"/>
      <c r="M66" s="511"/>
      <c r="N66" s="511"/>
      <c r="O66" s="511"/>
      <c r="P66" s="511"/>
      <c r="Q66" s="511"/>
      <c r="R66" s="511"/>
      <c r="S66" s="511"/>
      <c r="T66" s="511"/>
      <c r="U66" s="512"/>
    </row>
    <row r="67" spans="2:21" ht="18" thickBot="1" x14ac:dyDescent="0.45">
      <c r="B67" s="496"/>
      <c r="C67" s="497"/>
      <c r="D67" s="358" t="s">
        <v>126</v>
      </c>
      <c r="E67" s="507" t="s">
        <v>378</v>
      </c>
      <c r="F67" s="508"/>
      <c r="G67" s="508"/>
      <c r="H67" s="508"/>
      <c r="I67" s="508"/>
      <c r="J67" s="508"/>
      <c r="K67" s="508"/>
      <c r="L67" s="508"/>
      <c r="M67" s="508"/>
      <c r="N67" s="508"/>
      <c r="O67" s="508"/>
      <c r="P67" s="508"/>
      <c r="Q67" s="508"/>
      <c r="R67" s="508"/>
      <c r="S67" s="508"/>
      <c r="T67" s="508"/>
      <c r="U67" s="509"/>
    </row>
    <row r="68" spans="2:21" ht="18" thickBot="1" x14ac:dyDescent="0.45">
      <c r="B68" s="496"/>
      <c r="C68" s="497"/>
      <c r="D68" s="363" t="s">
        <v>234</v>
      </c>
      <c r="E68" s="510" t="s">
        <v>379</v>
      </c>
      <c r="F68" s="511"/>
      <c r="G68" s="511"/>
      <c r="H68" s="511"/>
      <c r="I68" s="511"/>
      <c r="J68" s="511"/>
      <c r="K68" s="511"/>
      <c r="L68" s="511"/>
      <c r="M68" s="511"/>
      <c r="N68" s="511"/>
      <c r="O68" s="511"/>
      <c r="P68" s="511"/>
      <c r="Q68" s="511"/>
      <c r="R68" s="511"/>
      <c r="S68" s="511"/>
      <c r="T68" s="511"/>
      <c r="U68" s="512"/>
    </row>
    <row r="69" spans="2:21" ht="18" thickBot="1" x14ac:dyDescent="0.45">
      <c r="B69" s="496"/>
      <c r="C69" s="497"/>
      <c r="D69" s="358" t="s">
        <v>235</v>
      </c>
      <c r="E69" s="507" t="s">
        <v>380</v>
      </c>
      <c r="F69" s="508"/>
      <c r="G69" s="508"/>
      <c r="H69" s="508"/>
      <c r="I69" s="508"/>
      <c r="J69" s="508"/>
      <c r="K69" s="508"/>
      <c r="L69" s="508"/>
      <c r="M69" s="508"/>
      <c r="N69" s="508"/>
      <c r="O69" s="508"/>
      <c r="P69" s="508"/>
      <c r="Q69" s="508"/>
      <c r="R69" s="508"/>
      <c r="S69" s="508"/>
      <c r="T69" s="508"/>
      <c r="U69" s="509"/>
    </row>
    <row r="70" spans="2:21" ht="18" thickBot="1" x14ac:dyDescent="0.45">
      <c r="B70" s="496"/>
      <c r="C70" s="497"/>
      <c r="D70" s="363" t="s">
        <v>127</v>
      </c>
      <c r="E70" s="510" t="s">
        <v>381</v>
      </c>
      <c r="F70" s="511"/>
      <c r="G70" s="511"/>
      <c r="H70" s="511"/>
      <c r="I70" s="511"/>
      <c r="J70" s="511"/>
      <c r="K70" s="511"/>
      <c r="L70" s="511"/>
      <c r="M70" s="511"/>
      <c r="N70" s="511"/>
      <c r="O70" s="511"/>
      <c r="P70" s="511"/>
      <c r="Q70" s="511"/>
      <c r="R70" s="511"/>
      <c r="S70" s="511"/>
      <c r="T70" s="511"/>
      <c r="U70" s="512"/>
    </row>
    <row r="71" spans="2:21" ht="18" thickBot="1" x14ac:dyDescent="0.45">
      <c r="B71" s="496"/>
      <c r="C71" s="497"/>
      <c r="D71" s="358" t="s">
        <v>128</v>
      </c>
      <c r="E71" s="507" t="s">
        <v>382</v>
      </c>
      <c r="F71" s="508"/>
      <c r="G71" s="508"/>
      <c r="H71" s="508"/>
      <c r="I71" s="508"/>
      <c r="J71" s="508"/>
      <c r="K71" s="508"/>
      <c r="L71" s="508"/>
      <c r="M71" s="508"/>
      <c r="N71" s="508"/>
      <c r="O71" s="508"/>
      <c r="P71" s="508"/>
      <c r="Q71" s="508"/>
      <c r="R71" s="508"/>
      <c r="S71" s="508"/>
      <c r="T71" s="508"/>
      <c r="U71" s="509"/>
    </row>
    <row r="72" spans="2:21" ht="18" thickBot="1" x14ac:dyDescent="0.45">
      <c r="B72" s="496"/>
      <c r="C72" s="497"/>
      <c r="D72" s="363" t="s">
        <v>129</v>
      </c>
      <c r="E72" s="510" t="s">
        <v>383</v>
      </c>
      <c r="F72" s="511"/>
      <c r="G72" s="511"/>
      <c r="H72" s="511"/>
      <c r="I72" s="511"/>
      <c r="J72" s="511"/>
      <c r="K72" s="511"/>
      <c r="L72" s="511"/>
      <c r="M72" s="511"/>
      <c r="N72" s="511"/>
      <c r="O72" s="511"/>
      <c r="P72" s="511"/>
      <c r="Q72" s="511"/>
      <c r="R72" s="511"/>
      <c r="S72" s="511"/>
      <c r="T72" s="511"/>
      <c r="U72" s="512"/>
    </row>
    <row r="73" spans="2:21" ht="18" thickBot="1" x14ac:dyDescent="0.45">
      <c r="B73" s="496"/>
      <c r="C73" s="497"/>
      <c r="D73" s="358" t="s">
        <v>130</v>
      </c>
      <c r="E73" s="507" t="s">
        <v>384</v>
      </c>
      <c r="F73" s="508"/>
      <c r="G73" s="508"/>
      <c r="H73" s="508"/>
      <c r="I73" s="508"/>
      <c r="J73" s="508"/>
      <c r="K73" s="508"/>
      <c r="L73" s="508"/>
      <c r="M73" s="508"/>
      <c r="N73" s="508"/>
      <c r="O73" s="508"/>
      <c r="P73" s="508"/>
      <c r="Q73" s="508"/>
      <c r="R73" s="508"/>
      <c r="S73" s="508"/>
      <c r="T73" s="508"/>
      <c r="U73" s="509"/>
    </row>
    <row r="74" spans="2:21" ht="18" thickBot="1" x14ac:dyDescent="0.45">
      <c r="B74" s="496"/>
      <c r="C74" s="497"/>
      <c r="D74" s="363" t="s">
        <v>131</v>
      </c>
      <c r="E74" s="510" t="s">
        <v>385</v>
      </c>
      <c r="F74" s="511"/>
      <c r="G74" s="511"/>
      <c r="H74" s="511"/>
      <c r="I74" s="511"/>
      <c r="J74" s="511"/>
      <c r="K74" s="511"/>
      <c r="L74" s="511"/>
      <c r="M74" s="511"/>
      <c r="N74" s="511"/>
      <c r="O74" s="511"/>
      <c r="P74" s="511"/>
      <c r="Q74" s="511"/>
      <c r="R74" s="511"/>
      <c r="S74" s="511"/>
      <c r="T74" s="511"/>
      <c r="U74" s="512"/>
    </row>
    <row r="75" spans="2:21" ht="18" thickBot="1" x14ac:dyDescent="0.45">
      <c r="B75" s="496"/>
      <c r="C75" s="497"/>
      <c r="D75" s="358" t="s">
        <v>132</v>
      </c>
      <c r="E75" s="507" t="s">
        <v>386</v>
      </c>
      <c r="F75" s="508"/>
      <c r="G75" s="508"/>
      <c r="H75" s="508"/>
      <c r="I75" s="508"/>
      <c r="J75" s="508"/>
      <c r="K75" s="508"/>
      <c r="L75" s="508"/>
      <c r="M75" s="508"/>
      <c r="N75" s="508"/>
      <c r="O75" s="508"/>
      <c r="P75" s="508"/>
      <c r="Q75" s="508"/>
      <c r="R75" s="508"/>
      <c r="S75" s="508"/>
      <c r="T75" s="508"/>
      <c r="U75" s="509"/>
    </row>
    <row r="76" spans="2:21" ht="18" thickBot="1" x14ac:dyDescent="0.45">
      <c r="B76" s="496"/>
      <c r="C76" s="497"/>
      <c r="D76" s="363" t="s">
        <v>133</v>
      </c>
      <c r="E76" s="510" t="s">
        <v>420</v>
      </c>
      <c r="F76" s="511"/>
      <c r="G76" s="511"/>
      <c r="H76" s="511"/>
      <c r="I76" s="511"/>
      <c r="J76" s="511"/>
      <c r="K76" s="511"/>
      <c r="L76" s="511"/>
      <c r="M76" s="511"/>
      <c r="N76" s="511"/>
      <c r="O76" s="511"/>
      <c r="P76" s="511"/>
      <c r="Q76" s="511"/>
      <c r="R76" s="511"/>
      <c r="S76" s="511"/>
      <c r="T76" s="511"/>
      <c r="U76" s="512"/>
    </row>
    <row r="77" spans="2:21" ht="18" thickBot="1" x14ac:dyDescent="0.45">
      <c r="B77" s="496"/>
      <c r="C77" s="497"/>
      <c r="D77" s="358" t="s">
        <v>134</v>
      </c>
      <c r="E77" s="507" t="s">
        <v>387</v>
      </c>
      <c r="F77" s="508"/>
      <c r="G77" s="508"/>
      <c r="H77" s="508"/>
      <c r="I77" s="508"/>
      <c r="J77" s="508"/>
      <c r="K77" s="508"/>
      <c r="L77" s="508"/>
      <c r="M77" s="508"/>
      <c r="N77" s="508"/>
      <c r="O77" s="508"/>
      <c r="P77" s="508"/>
      <c r="Q77" s="508"/>
      <c r="R77" s="508"/>
      <c r="S77" s="508"/>
      <c r="T77" s="508"/>
      <c r="U77" s="509"/>
    </row>
    <row r="78" spans="2:21" ht="18" thickBot="1" x14ac:dyDescent="0.45">
      <c r="B78" s="498"/>
      <c r="C78" s="499"/>
      <c r="D78" s="363" t="s">
        <v>135</v>
      </c>
      <c r="E78" s="510" t="s">
        <v>388</v>
      </c>
      <c r="F78" s="511"/>
      <c r="G78" s="511"/>
      <c r="H78" s="511"/>
      <c r="I78" s="511"/>
      <c r="J78" s="511"/>
      <c r="K78" s="511"/>
      <c r="L78" s="511"/>
      <c r="M78" s="511"/>
      <c r="N78" s="511"/>
      <c r="O78" s="511"/>
      <c r="P78" s="511"/>
      <c r="Q78" s="511"/>
      <c r="R78" s="511"/>
      <c r="S78" s="511"/>
      <c r="T78" s="511"/>
      <c r="U78" s="512"/>
    </row>
    <row r="79" spans="2:21" ht="18" thickBot="1" x14ac:dyDescent="0.45">
      <c r="B79" s="494" t="s">
        <v>8</v>
      </c>
      <c r="C79" s="495"/>
      <c r="D79" s="358" t="s">
        <v>69</v>
      </c>
      <c r="E79" s="507" t="s">
        <v>389</v>
      </c>
      <c r="F79" s="508"/>
      <c r="G79" s="508"/>
      <c r="H79" s="508"/>
      <c r="I79" s="508"/>
      <c r="J79" s="508"/>
      <c r="K79" s="508"/>
      <c r="L79" s="508"/>
      <c r="M79" s="508"/>
      <c r="N79" s="508"/>
      <c r="O79" s="508"/>
      <c r="P79" s="508"/>
      <c r="Q79" s="508"/>
      <c r="R79" s="508"/>
      <c r="S79" s="508"/>
      <c r="T79" s="508"/>
      <c r="U79" s="509"/>
    </row>
    <row r="80" spans="2:21" ht="29.25" thickBot="1" x14ac:dyDescent="0.45">
      <c r="B80" s="496"/>
      <c r="C80" s="497"/>
      <c r="D80" s="363" t="s">
        <v>68</v>
      </c>
      <c r="E80" s="510" t="s">
        <v>390</v>
      </c>
      <c r="F80" s="511"/>
      <c r="G80" s="511"/>
      <c r="H80" s="511"/>
      <c r="I80" s="511"/>
      <c r="J80" s="511"/>
      <c r="K80" s="511"/>
      <c r="L80" s="511"/>
      <c r="M80" s="511"/>
      <c r="N80" s="511"/>
      <c r="O80" s="511"/>
      <c r="P80" s="511"/>
      <c r="Q80" s="511"/>
      <c r="R80" s="511"/>
      <c r="S80" s="511"/>
      <c r="T80" s="511"/>
      <c r="U80" s="512"/>
    </row>
    <row r="81" spans="2:21" ht="18" thickBot="1" x14ac:dyDescent="0.45">
      <c r="B81" s="494" t="s">
        <v>24</v>
      </c>
      <c r="C81" s="495"/>
      <c r="D81" s="358" t="s">
        <v>58</v>
      </c>
      <c r="E81" s="507" t="s">
        <v>391</v>
      </c>
      <c r="F81" s="508"/>
      <c r="G81" s="508"/>
      <c r="H81" s="508"/>
      <c r="I81" s="508"/>
      <c r="J81" s="508"/>
      <c r="K81" s="508"/>
      <c r="L81" s="508"/>
      <c r="M81" s="508"/>
      <c r="N81" s="508"/>
      <c r="O81" s="508"/>
      <c r="P81" s="508"/>
      <c r="Q81" s="508"/>
      <c r="R81" s="508"/>
      <c r="S81" s="508"/>
      <c r="T81" s="508"/>
      <c r="U81" s="509"/>
    </row>
    <row r="82" spans="2:21" ht="18" thickBot="1" x14ac:dyDescent="0.45">
      <c r="B82" s="496"/>
      <c r="C82" s="497"/>
      <c r="D82" s="363" t="s">
        <v>136</v>
      </c>
      <c r="E82" s="510" t="s">
        <v>392</v>
      </c>
      <c r="F82" s="511"/>
      <c r="G82" s="511"/>
      <c r="H82" s="511"/>
      <c r="I82" s="511"/>
      <c r="J82" s="511"/>
      <c r="K82" s="511"/>
      <c r="L82" s="511"/>
      <c r="M82" s="511"/>
      <c r="N82" s="511"/>
      <c r="O82" s="511"/>
      <c r="P82" s="511"/>
      <c r="Q82" s="511"/>
      <c r="R82" s="511"/>
      <c r="S82" s="511"/>
      <c r="T82" s="511"/>
      <c r="U82" s="512"/>
    </row>
    <row r="83" spans="2:21" ht="18" thickBot="1" x14ac:dyDescent="0.45">
      <c r="B83" s="496"/>
      <c r="C83" s="497"/>
      <c r="D83" s="364" t="s">
        <v>137</v>
      </c>
      <c r="E83" s="522" t="s">
        <v>393</v>
      </c>
      <c r="F83" s="523"/>
      <c r="G83" s="523"/>
      <c r="H83" s="523"/>
      <c r="I83" s="523"/>
      <c r="J83" s="523"/>
      <c r="K83" s="523"/>
      <c r="L83" s="523"/>
      <c r="M83" s="523"/>
      <c r="N83" s="523"/>
      <c r="O83" s="523"/>
      <c r="P83" s="523"/>
      <c r="Q83" s="523"/>
      <c r="R83" s="523"/>
      <c r="S83" s="523"/>
      <c r="T83" s="523"/>
      <c r="U83" s="524"/>
    </row>
    <row r="84" spans="2:21" ht="18" thickBot="1" x14ac:dyDescent="0.45">
      <c r="B84" s="496"/>
      <c r="C84" s="497"/>
      <c r="D84" s="365" t="s">
        <v>291</v>
      </c>
      <c r="E84" s="516" t="s">
        <v>394</v>
      </c>
      <c r="F84" s="517"/>
      <c r="G84" s="517"/>
      <c r="H84" s="517"/>
      <c r="I84" s="517"/>
      <c r="J84" s="517"/>
      <c r="K84" s="517"/>
      <c r="L84" s="517"/>
      <c r="M84" s="517"/>
      <c r="N84" s="517"/>
      <c r="O84" s="517"/>
      <c r="P84" s="517"/>
      <c r="Q84" s="517"/>
      <c r="R84" s="517"/>
      <c r="S84" s="517"/>
      <c r="T84" s="517"/>
      <c r="U84" s="518"/>
    </row>
    <row r="85" spans="2:21" ht="18" thickBot="1" x14ac:dyDescent="0.45">
      <c r="B85" s="496"/>
      <c r="C85" s="497"/>
      <c r="D85" s="366" t="s">
        <v>292</v>
      </c>
      <c r="E85" s="513" t="s">
        <v>395</v>
      </c>
      <c r="F85" s="514"/>
      <c r="G85" s="514"/>
      <c r="H85" s="514"/>
      <c r="I85" s="514"/>
      <c r="J85" s="514"/>
      <c r="K85" s="514"/>
      <c r="L85" s="514"/>
      <c r="M85" s="514"/>
      <c r="N85" s="514"/>
      <c r="O85" s="514"/>
      <c r="P85" s="514"/>
      <c r="Q85" s="514"/>
      <c r="R85" s="514"/>
      <c r="S85" s="514"/>
      <c r="T85" s="514"/>
      <c r="U85" s="515"/>
    </row>
    <row r="86" spans="2:21" ht="18" thickBot="1" x14ac:dyDescent="0.45">
      <c r="B86" s="496"/>
      <c r="C86" s="497"/>
      <c r="D86" s="367" t="s">
        <v>138</v>
      </c>
      <c r="E86" s="516" t="s">
        <v>396</v>
      </c>
      <c r="F86" s="517"/>
      <c r="G86" s="517"/>
      <c r="H86" s="517"/>
      <c r="I86" s="517"/>
      <c r="J86" s="517"/>
      <c r="K86" s="517"/>
      <c r="L86" s="517"/>
      <c r="M86" s="517"/>
      <c r="N86" s="517"/>
      <c r="O86" s="517"/>
      <c r="P86" s="517"/>
      <c r="Q86" s="517"/>
      <c r="R86" s="517"/>
      <c r="S86" s="517"/>
      <c r="T86" s="517"/>
      <c r="U86" s="518"/>
    </row>
    <row r="87" spans="2:21" ht="18" thickBot="1" x14ac:dyDescent="0.45">
      <c r="B87" s="496"/>
      <c r="C87" s="497"/>
      <c r="D87" s="366" t="s">
        <v>35</v>
      </c>
      <c r="E87" s="513" t="s">
        <v>397</v>
      </c>
      <c r="F87" s="514"/>
      <c r="G87" s="514"/>
      <c r="H87" s="514"/>
      <c r="I87" s="514"/>
      <c r="J87" s="514"/>
      <c r="K87" s="514"/>
      <c r="L87" s="514"/>
      <c r="M87" s="514"/>
      <c r="N87" s="514"/>
      <c r="O87" s="514"/>
      <c r="P87" s="514"/>
      <c r="Q87" s="514"/>
      <c r="R87" s="514"/>
      <c r="S87" s="514"/>
      <c r="T87" s="514"/>
      <c r="U87" s="515"/>
    </row>
    <row r="88" spans="2:21" ht="18" thickBot="1" x14ac:dyDescent="0.45">
      <c r="B88" s="496"/>
      <c r="C88" s="497"/>
      <c r="D88" s="367" t="s">
        <v>139</v>
      </c>
      <c r="E88" s="516" t="s">
        <v>398</v>
      </c>
      <c r="F88" s="517"/>
      <c r="G88" s="517"/>
      <c r="H88" s="517"/>
      <c r="I88" s="517"/>
      <c r="J88" s="517"/>
      <c r="K88" s="517"/>
      <c r="L88" s="517"/>
      <c r="M88" s="517"/>
      <c r="N88" s="517"/>
      <c r="O88" s="517"/>
      <c r="P88" s="517"/>
      <c r="Q88" s="517"/>
      <c r="R88" s="517"/>
      <c r="S88" s="517"/>
      <c r="T88" s="517"/>
      <c r="U88" s="518"/>
    </row>
    <row r="89" spans="2:21" ht="18" thickBot="1" x14ac:dyDescent="0.45">
      <c r="B89" s="496"/>
      <c r="C89" s="497"/>
      <c r="D89" s="366" t="s">
        <v>140</v>
      </c>
      <c r="E89" s="513" t="s">
        <v>399</v>
      </c>
      <c r="F89" s="514"/>
      <c r="G89" s="514"/>
      <c r="H89" s="514"/>
      <c r="I89" s="514"/>
      <c r="J89" s="514"/>
      <c r="K89" s="514"/>
      <c r="L89" s="514"/>
      <c r="M89" s="514"/>
      <c r="N89" s="514"/>
      <c r="O89" s="514"/>
      <c r="P89" s="514"/>
      <c r="Q89" s="514"/>
      <c r="R89" s="514"/>
      <c r="S89" s="514"/>
      <c r="T89" s="514"/>
      <c r="U89" s="515"/>
    </row>
    <row r="90" spans="2:21" ht="18" thickBot="1" x14ac:dyDescent="0.45">
      <c r="B90" s="496"/>
      <c r="C90" s="497"/>
      <c r="D90" s="367" t="s">
        <v>141</v>
      </c>
      <c r="E90" s="516" t="s">
        <v>400</v>
      </c>
      <c r="F90" s="517"/>
      <c r="G90" s="517"/>
      <c r="H90" s="517"/>
      <c r="I90" s="517"/>
      <c r="J90" s="517"/>
      <c r="K90" s="517"/>
      <c r="L90" s="517"/>
      <c r="M90" s="517"/>
      <c r="N90" s="517"/>
      <c r="O90" s="517"/>
      <c r="P90" s="517"/>
      <c r="Q90" s="517"/>
      <c r="R90" s="517"/>
      <c r="S90" s="517"/>
      <c r="T90" s="517"/>
      <c r="U90" s="518"/>
    </row>
    <row r="91" spans="2:21" ht="18" thickBot="1" x14ac:dyDescent="0.45">
      <c r="B91" s="496"/>
      <c r="C91" s="497"/>
      <c r="D91" s="366" t="s">
        <v>142</v>
      </c>
      <c r="E91" s="513" t="s">
        <v>401</v>
      </c>
      <c r="F91" s="514"/>
      <c r="G91" s="514"/>
      <c r="H91" s="514"/>
      <c r="I91" s="514"/>
      <c r="J91" s="514"/>
      <c r="K91" s="514"/>
      <c r="L91" s="514"/>
      <c r="M91" s="514"/>
      <c r="N91" s="514"/>
      <c r="O91" s="514"/>
      <c r="P91" s="514"/>
      <c r="Q91" s="514"/>
      <c r="R91" s="514"/>
      <c r="S91" s="514"/>
      <c r="T91" s="514"/>
      <c r="U91" s="515"/>
    </row>
    <row r="92" spans="2:21" ht="18" thickBot="1" x14ac:dyDescent="0.45">
      <c r="B92" s="496"/>
      <c r="C92" s="497"/>
      <c r="D92" s="367" t="s">
        <v>41</v>
      </c>
      <c r="E92" s="516" t="s">
        <v>402</v>
      </c>
      <c r="F92" s="517"/>
      <c r="G92" s="517"/>
      <c r="H92" s="517"/>
      <c r="I92" s="517"/>
      <c r="J92" s="517"/>
      <c r="K92" s="517"/>
      <c r="L92" s="517"/>
      <c r="M92" s="517"/>
      <c r="N92" s="517"/>
      <c r="O92" s="517"/>
      <c r="P92" s="517"/>
      <c r="Q92" s="517"/>
      <c r="R92" s="517"/>
      <c r="S92" s="517"/>
      <c r="T92" s="517"/>
      <c r="U92" s="518"/>
    </row>
    <row r="93" spans="2:21" ht="18" thickBot="1" x14ac:dyDescent="0.45">
      <c r="B93" s="496"/>
      <c r="C93" s="497"/>
      <c r="D93" s="366" t="s">
        <v>143</v>
      </c>
      <c r="E93" s="513" t="s">
        <v>403</v>
      </c>
      <c r="F93" s="514"/>
      <c r="G93" s="514"/>
      <c r="H93" s="514"/>
      <c r="I93" s="514"/>
      <c r="J93" s="514"/>
      <c r="K93" s="514"/>
      <c r="L93" s="514"/>
      <c r="M93" s="514"/>
      <c r="N93" s="514"/>
      <c r="O93" s="514"/>
      <c r="P93" s="514"/>
      <c r="Q93" s="514"/>
      <c r="R93" s="514"/>
      <c r="S93" s="514"/>
      <c r="T93" s="514"/>
      <c r="U93" s="515"/>
    </row>
    <row r="94" spans="2:21" ht="18" thickBot="1" x14ac:dyDescent="0.45">
      <c r="B94" s="496"/>
      <c r="C94" s="497"/>
      <c r="D94" s="367" t="s">
        <v>144</v>
      </c>
      <c r="E94" s="516" t="s">
        <v>404</v>
      </c>
      <c r="F94" s="517"/>
      <c r="G94" s="517"/>
      <c r="H94" s="517"/>
      <c r="I94" s="517"/>
      <c r="J94" s="517"/>
      <c r="K94" s="517"/>
      <c r="L94" s="517"/>
      <c r="M94" s="517"/>
      <c r="N94" s="517"/>
      <c r="O94" s="517"/>
      <c r="P94" s="517"/>
      <c r="Q94" s="517"/>
      <c r="R94" s="517"/>
      <c r="S94" s="517"/>
      <c r="T94" s="517"/>
      <c r="U94" s="518"/>
    </row>
    <row r="95" spans="2:21" ht="18" thickBot="1" x14ac:dyDescent="0.45">
      <c r="B95" s="496"/>
      <c r="C95" s="497"/>
      <c r="D95" s="366" t="s">
        <v>145</v>
      </c>
      <c r="E95" s="513" t="s">
        <v>405</v>
      </c>
      <c r="F95" s="514"/>
      <c r="G95" s="514"/>
      <c r="H95" s="514"/>
      <c r="I95" s="514"/>
      <c r="J95" s="514"/>
      <c r="K95" s="514"/>
      <c r="L95" s="514"/>
      <c r="M95" s="514"/>
      <c r="N95" s="514"/>
      <c r="O95" s="514"/>
      <c r="P95" s="514"/>
      <c r="Q95" s="514"/>
      <c r="R95" s="514"/>
      <c r="S95" s="514"/>
      <c r="T95" s="514"/>
      <c r="U95" s="515"/>
    </row>
    <row r="96" spans="2:21" ht="18" thickBot="1" x14ac:dyDescent="0.45">
      <c r="B96" s="496"/>
      <c r="C96" s="497"/>
      <c r="D96" s="368" t="s">
        <v>146</v>
      </c>
      <c r="E96" s="516" t="s">
        <v>406</v>
      </c>
      <c r="F96" s="517"/>
      <c r="G96" s="517"/>
      <c r="H96" s="517"/>
      <c r="I96" s="517"/>
      <c r="J96" s="517"/>
      <c r="K96" s="517"/>
      <c r="L96" s="517"/>
      <c r="M96" s="517"/>
      <c r="N96" s="517"/>
      <c r="O96" s="517"/>
      <c r="P96" s="517"/>
      <c r="Q96" s="517"/>
      <c r="R96" s="517"/>
      <c r="S96" s="517"/>
      <c r="T96" s="517"/>
      <c r="U96" s="518"/>
    </row>
    <row r="97" spans="2:21" ht="18" thickBot="1" x14ac:dyDescent="0.45">
      <c r="B97" s="496"/>
      <c r="C97" s="497"/>
      <c r="D97" s="369" t="s">
        <v>293</v>
      </c>
      <c r="E97" s="519" t="s">
        <v>394</v>
      </c>
      <c r="F97" s="520"/>
      <c r="G97" s="520"/>
      <c r="H97" s="520"/>
      <c r="I97" s="520"/>
      <c r="J97" s="520"/>
      <c r="K97" s="520"/>
      <c r="L97" s="520"/>
      <c r="M97" s="520"/>
      <c r="N97" s="520"/>
      <c r="O97" s="520"/>
      <c r="P97" s="520"/>
      <c r="Q97" s="520"/>
      <c r="R97" s="520"/>
      <c r="S97" s="520"/>
      <c r="T97" s="520"/>
      <c r="U97" s="521"/>
    </row>
    <row r="98" spans="2:21" ht="18" thickBot="1" x14ac:dyDescent="0.45">
      <c r="B98" s="496"/>
      <c r="C98" s="497"/>
      <c r="D98" s="363" t="s">
        <v>294</v>
      </c>
      <c r="E98" s="510" t="s">
        <v>395</v>
      </c>
      <c r="F98" s="511"/>
      <c r="G98" s="511"/>
      <c r="H98" s="511"/>
      <c r="I98" s="511"/>
      <c r="J98" s="511"/>
      <c r="K98" s="511"/>
      <c r="L98" s="511"/>
      <c r="M98" s="511"/>
      <c r="N98" s="511"/>
      <c r="O98" s="511"/>
      <c r="P98" s="511"/>
      <c r="Q98" s="511"/>
      <c r="R98" s="511"/>
      <c r="S98" s="511"/>
      <c r="T98" s="511"/>
      <c r="U98" s="512"/>
    </row>
    <row r="99" spans="2:21" ht="18" thickBot="1" x14ac:dyDescent="0.45">
      <c r="B99" s="496"/>
      <c r="C99" s="497"/>
      <c r="D99" s="358" t="s">
        <v>147</v>
      </c>
      <c r="E99" s="507" t="s">
        <v>396</v>
      </c>
      <c r="F99" s="508"/>
      <c r="G99" s="508"/>
      <c r="H99" s="508"/>
      <c r="I99" s="508"/>
      <c r="J99" s="508"/>
      <c r="K99" s="508"/>
      <c r="L99" s="508"/>
      <c r="M99" s="508"/>
      <c r="N99" s="508"/>
      <c r="O99" s="508"/>
      <c r="P99" s="508"/>
      <c r="Q99" s="508"/>
      <c r="R99" s="508"/>
      <c r="S99" s="508"/>
      <c r="T99" s="508"/>
      <c r="U99" s="509"/>
    </row>
    <row r="100" spans="2:21" ht="18" thickBot="1" x14ac:dyDescent="0.45">
      <c r="B100" s="496"/>
      <c r="C100" s="497"/>
      <c r="D100" s="363" t="s">
        <v>36</v>
      </c>
      <c r="E100" s="510" t="s">
        <v>407</v>
      </c>
      <c r="F100" s="511"/>
      <c r="G100" s="511"/>
      <c r="H100" s="511"/>
      <c r="I100" s="511"/>
      <c r="J100" s="511"/>
      <c r="K100" s="511"/>
      <c r="L100" s="511"/>
      <c r="M100" s="511"/>
      <c r="N100" s="511"/>
      <c r="O100" s="511"/>
      <c r="P100" s="511"/>
      <c r="Q100" s="511"/>
      <c r="R100" s="511"/>
      <c r="S100" s="511"/>
      <c r="T100" s="511"/>
      <c r="U100" s="512"/>
    </row>
    <row r="101" spans="2:21" ht="18" thickBot="1" x14ac:dyDescent="0.45">
      <c r="B101" s="496"/>
      <c r="C101" s="497"/>
      <c r="D101" s="358" t="s">
        <v>148</v>
      </c>
      <c r="E101" s="507" t="s">
        <v>398</v>
      </c>
      <c r="F101" s="508"/>
      <c r="G101" s="508"/>
      <c r="H101" s="508"/>
      <c r="I101" s="508"/>
      <c r="J101" s="508"/>
      <c r="K101" s="508"/>
      <c r="L101" s="508"/>
      <c r="M101" s="508"/>
      <c r="N101" s="508"/>
      <c r="O101" s="508"/>
      <c r="P101" s="508"/>
      <c r="Q101" s="508"/>
      <c r="R101" s="508"/>
      <c r="S101" s="508"/>
      <c r="T101" s="508"/>
      <c r="U101" s="509"/>
    </row>
    <row r="102" spans="2:21" ht="18" thickBot="1" x14ac:dyDescent="0.45">
      <c r="B102" s="496"/>
      <c r="C102" s="497"/>
      <c r="D102" s="363" t="s">
        <v>149</v>
      </c>
      <c r="E102" s="510" t="s">
        <v>399</v>
      </c>
      <c r="F102" s="511"/>
      <c r="G102" s="511"/>
      <c r="H102" s="511"/>
      <c r="I102" s="511"/>
      <c r="J102" s="511"/>
      <c r="K102" s="511"/>
      <c r="L102" s="511"/>
      <c r="M102" s="511"/>
      <c r="N102" s="511"/>
      <c r="O102" s="511"/>
      <c r="P102" s="511"/>
      <c r="Q102" s="511"/>
      <c r="R102" s="511"/>
      <c r="S102" s="511"/>
      <c r="T102" s="511"/>
      <c r="U102" s="512"/>
    </row>
    <row r="103" spans="2:21" ht="18" thickBot="1" x14ac:dyDescent="0.45">
      <c r="B103" s="496"/>
      <c r="C103" s="497"/>
      <c r="D103" s="358" t="s">
        <v>150</v>
      </c>
      <c r="E103" s="507" t="s">
        <v>400</v>
      </c>
      <c r="F103" s="508"/>
      <c r="G103" s="508"/>
      <c r="H103" s="508"/>
      <c r="I103" s="508"/>
      <c r="J103" s="508"/>
      <c r="K103" s="508"/>
      <c r="L103" s="508"/>
      <c r="M103" s="508"/>
      <c r="N103" s="508"/>
      <c r="O103" s="508"/>
      <c r="P103" s="508"/>
      <c r="Q103" s="508"/>
      <c r="R103" s="508"/>
      <c r="S103" s="508"/>
      <c r="T103" s="508"/>
      <c r="U103" s="509"/>
    </row>
    <row r="104" spans="2:21" ht="18" thickBot="1" x14ac:dyDescent="0.45">
      <c r="B104" s="496"/>
      <c r="C104" s="497"/>
      <c r="D104" s="363" t="s">
        <v>142</v>
      </c>
      <c r="E104" s="510" t="s">
        <v>401</v>
      </c>
      <c r="F104" s="511"/>
      <c r="G104" s="511"/>
      <c r="H104" s="511"/>
      <c r="I104" s="511"/>
      <c r="J104" s="511"/>
      <c r="K104" s="511"/>
      <c r="L104" s="511"/>
      <c r="M104" s="511"/>
      <c r="N104" s="511"/>
      <c r="O104" s="511"/>
      <c r="P104" s="511"/>
      <c r="Q104" s="511"/>
      <c r="R104" s="511"/>
      <c r="S104" s="511"/>
      <c r="T104" s="511"/>
      <c r="U104" s="512"/>
    </row>
    <row r="105" spans="2:21" ht="18" thickBot="1" x14ac:dyDescent="0.45">
      <c r="B105" s="496"/>
      <c r="C105" s="497"/>
      <c r="D105" s="358" t="s">
        <v>42</v>
      </c>
      <c r="E105" s="507" t="s">
        <v>402</v>
      </c>
      <c r="F105" s="508"/>
      <c r="G105" s="508"/>
      <c r="H105" s="508"/>
      <c r="I105" s="508"/>
      <c r="J105" s="508"/>
      <c r="K105" s="508"/>
      <c r="L105" s="508"/>
      <c r="M105" s="508"/>
      <c r="N105" s="508"/>
      <c r="O105" s="508"/>
      <c r="P105" s="508"/>
      <c r="Q105" s="508"/>
      <c r="R105" s="508"/>
      <c r="S105" s="508"/>
      <c r="T105" s="508"/>
      <c r="U105" s="509"/>
    </row>
    <row r="106" spans="2:21" ht="18" thickBot="1" x14ac:dyDescent="0.45">
      <c r="B106" s="496"/>
      <c r="C106" s="497"/>
      <c r="D106" s="363" t="s">
        <v>151</v>
      </c>
      <c r="E106" s="510" t="s">
        <v>403</v>
      </c>
      <c r="F106" s="511"/>
      <c r="G106" s="511"/>
      <c r="H106" s="511"/>
      <c r="I106" s="511"/>
      <c r="J106" s="511"/>
      <c r="K106" s="511"/>
      <c r="L106" s="511"/>
      <c r="M106" s="511"/>
      <c r="N106" s="511"/>
      <c r="O106" s="511"/>
      <c r="P106" s="511"/>
      <c r="Q106" s="511"/>
      <c r="R106" s="511"/>
      <c r="S106" s="511"/>
      <c r="T106" s="511"/>
      <c r="U106" s="512"/>
    </row>
    <row r="107" spans="2:21" ht="18" thickBot="1" x14ac:dyDescent="0.45">
      <c r="B107" s="496"/>
      <c r="C107" s="497"/>
      <c r="D107" s="358" t="s">
        <v>152</v>
      </c>
      <c r="E107" s="507" t="s">
        <v>404</v>
      </c>
      <c r="F107" s="508"/>
      <c r="G107" s="508"/>
      <c r="H107" s="508"/>
      <c r="I107" s="508"/>
      <c r="J107" s="508"/>
      <c r="K107" s="508"/>
      <c r="L107" s="508"/>
      <c r="M107" s="508"/>
      <c r="N107" s="508"/>
      <c r="O107" s="508"/>
      <c r="P107" s="508"/>
      <c r="Q107" s="508"/>
      <c r="R107" s="508"/>
      <c r="S107" s="508"/>
      <c r="T107" s="508"/>
      <c r="U107" s="509"/>
    </row>
    <row r="108" spans="2:21" ht="18" thickBot="1" x14ac:dyDescent="0.45">
      <c r="B108" s="496"/>
      <c r="C108" s="497"/>
      <c r="D108" s="363" t="s">
        <v>153</v>
      </c>
      <c r="E108" s="510" t="s">
        <v>405</v>
      </c>
      <c r="F108" s="511"/>
      <c r="G108" s="511"/>
      <c r="H108" s="511"/>
      <c r="I108" s="511"/>
      <c r="J108" s="511"/>
      <c r="K108" s="511"/>
      <c r="L108" s="511"/>
      <c r="M108" s="511"/>
      <c r="N108" s="511"/>
      <c r="O108" s="511"/>
      <c r="P108" s="511"/>
      <c r="Q108" s="511"/>
      <c r="R108" s="511"/>
      <c r="S108" s="511"/>
      <c r="T108" s="511"/>
      <c r="U108" s="512"/>
    </row>
    <row r="109" spans="2:21" ht="18" thickBot="1" x14ac:dyDescent="0.45">
      <c r="B109" s="496"/>
      <c r="C109" s="497"/>
      <c r="D109" s="358" t="s">
        <v>154</v>
      </c>
      <c r="E109" s="507" t="s">
        <v>406</v>
      </c>
      <c r="F109" s="508"/>
      <c r="G109" s="508"/>
      <c r="H109" s="508"/>
      <c r="I109" s="508"/>
      <c r="J109" s="508"/>
      <c r="K109" s="508"/>
      <c r="L109" s="508"/>
      <c r="M109" s="508"/>
      <c r="N109" s="508"/>
      <c r="O109" s="508"/>
      <c r="P109" s="508"/>
      <c r="Q109" s="508"/>
      <c r="R109" s="508"/>
      <c r="S109" s="508"/>
      <c r="T109" s="508"/>
      <c r="U109" s="509"/>
    </row>
    <row r="110" spans="2:21" ht="18" thickBot="1" x14ac:dyDescent="0.45">
      <c r="B110" s="496"/>
      <c r="C110" s="497"/>
      <c r="D110" s="363" t="s">
        <v>295</v>
      </c>
      <c r="E110" s="510" t="s">
        <v>394</v>
      </c>
      <c r="F110" s="511"/>
      <c r="G110" s="511"/>
      <c r="H110" s="511"/>
      <c r="I110" s="511"/>
      <c r="J110" s="511"/>
      <c r="K110" s="511"/>
      <c r="L110" s="511"/>
      <c r="M110" s="511"/>
      <c r="N110" s="511"/>
      <c r="O110" s="511"/>
      <c r="P110" s="511"/>
      <c r="Q110" s="511"/>
      <c r="R110" s="511"/>
      <c r="S110" s="511"/>
      <c r="T110" s="511"/>
      <c r="U110" s="512"/>
    </row>
    <row r="111" spans="2:21" ht="18" thickBot="1" x14ac:dyDescent="0.45">
      <c r="B111" s="496"/>
      <c r="C111" s="497"/>
      <c r="D111" s="358" t="s">
        <v>296</v>
      </c>
      <c r="E111" s="507" t="s">
        <v>395</v>
      </c>
      <c r="F111" s="508"/>
      <c r="G111" s="508"/>
      <c r="H111" s="508"/>
      <c r="I111" s="508"/>
      <c r="J111" s="508"/>
      <c r="K111" s="508"/>
      <c r="L111" s="508"/>
      <c r="M111" s="508"/>
      <c r="N111" s="508"/>
      <c r="O111" s="508"/>
      <c r="P111" s="508"/>
      <c r="Q111" s="508"/>
      <c r="R111" s="508"/>
      <c r="S111" s="508"/>
      <c r="T111" s="508"/>
      <c r="U111" s="509"/>
    </row>
    <row r="112" spans="2:21" ht="18" thickBot="1" x14ac:dyDescent="0.45">
      <c r="B112" s="496"/>
      <c r="C112" s="497"/>
      <c r="D112" s="363" t="s">
        <v>155</v>
      </c>
      <c r="E112" s="510" t="s">
        <v>396</v>
      </c>
      <c r="F112" s="511"/>
      <c r="G112" s="511"/>
      <c r="H112" s="511"/>
      <c r="I112" s="511"/>
      <c r="J112" s="511"/>
      <c r="K112" s="511"/>
      <c r="L112" s="511"/>
      <c r="M112" s="511"/>
      <c r="N112" s="511"/>
      <c r="O112" s="511"/>
      <c r="P112" s="511"/>
      <c r="Q112" s="511"/>
      <c r="R112" s="511"/>
      <c r="S112" s="511"/>
      <c r="T112" s="511"/>
      <c r="U112" s="512"/>
    </row>
    <row r="113" spans="2:21" ht="18" thickBot="1" x14ac:dyDescent="0.45">
      <c r="B113" s="496"/>
      <c r="C113" s="497"/>
      <c r="D113" s="358" t="s">
        <v>37</v>
      </c>
      <c r="E113" s="507" t="s">
        <v>408</v>
      </c>
      <c r="F113" s="508"/>
      <c r="G113" s="508"/>
      <c r="H113" s="508"/>
      <c r="I113" s="508"/>
      <c r="J113" s="508"/>
      <c r="K113" s="508"/>
      <c r="L113" s="508"/>
      <c r="M113" s="508"/>
      <c r="N113" s="508"/>
      <c r="O113" s="508"/>
      <c r="P113" s="508"/>
      <c r="Q113" s="508"/>
      <c r="R113" s="508"/>
      <c r="S113" s="508"/>
      <c r="T113" s="508"/>
      <c r="U113" s="509"/>
    </row>
    <row r="114" spans="2:21" ht="18" thickBot="1" x14ac:dyDescent="0.45">
      <c r="B114" s="496"/>
      <c r="C114" s="497"/>
      <c r="D114" s="363" t="s">
        <v>156</v>
      </c>
      <c r="E114" s="510" t="s">
        <v>398</v>
      </c>
      <c r="F114" s="511"/>
      <c r="G114" s="511"/>
      <c r="H114" s="511"/>
      <c r="I114" s="511"/>
      <c r="J114" s="511"/>
      <c r="K114" s="511"/>
      <c r="L114" s="511"/>
      <c r="M114" s="511"/>
      <c r="N114" s="511"/>
      <c r="O114" s="511"/>
      <c r="P114" s="511"/>
      <c r="Q114" s="511"/>
      <c r="R114" s="511"/>
      <c r="S114" s="511"/>
      <c r="T114" s="511"/>
      <c r="U114" s="512"/>
    </row>
    <row r="115" spans="2:21" ht="18" thickBot="1" x14ac:dyDescent="0.45">
      <c r="B115" s="496"/>
      <c r="C115" s="497"/>
      <c r="D115" s="358" t="s">
        <v>157</v>
      </c>
      <c r="E115" s="507" t="s">
        <v>399</v>
      </c>
      <c r="F115" s="508"/>
      <c r="G115" s="508"/>
      <c r="H115" s="508"/>
      <c r="I115" s="508"/>
      <c r="J115" s="508"/>
      <c r="K115" s="508"/>
      <c r="L115" s="508"/>
      <c r="M115" s="508"/>
      <c r="N115" s="508"/>
      <c r="O115" s="508"/>
      <c r="P115" s="508"/>
      <c r="Q115" s="508"/>
      <c r="R115" s="508"/>
      <c r="S115" s="508"/>
      <c r="T115" s="508"/>
      <c r="U115" s="509"/>
    </row>
    <row r="116" spans="2:21" ht="18" thickBot="1" x14ac:dyDescent="0.45">
      <c r="B116" s="496"/>
      <c r="C116" s="497"/>
      <c r="D116" s="363" t="s">
        <v>158</v>
      </c>
      <c r="E116" s="510" t="s">
        <v>400</v>
      </c>
      <c r="F116" s="511"/>
      <c r="G116" s="511"/>
      <c r="H116" s="511"/>
      <c r="I116" s="511"/>
      <c r="J116" s="511"/>
      <c r="K116" s="511"/>
      <c r="L116" s="511"/>
      <c r="M116" s="511"/>
      <c r="N116" s="511"/>
      <c r="O116" s="511"/>
      <c r="P116" s="511"/>
      <c r="Q116" s="511"/>
      <c r="R116" s="511"/>
      <c r="S116" s="511"/>
      <c r="T116" s="511"/>
      <c r="U116" s="512"/>
    </row>
    <row r="117" spans="2:21" ht="18" thickBot="1" x14ac:dyDescent="0.45">
      <c r="B117" s="496"/>
      <c r="C117" s="497"/>
      <c r="D117" s="358" t="s">
        <v>142</v>
      </c>
      <c r="E117" s="507" t="s">
        <v>401</v>
      </c>
      <c r="F117" s="508"/>
      <c r="G117" s="508"/>
      <c r="H117" s="508"/>
      <c r="I117" s="508"/>
      <c r="J117" s="508"/>
      <c r="K117" s="508"/>
      <c r="L117" s="508"/>
      <c r="M117" s="508"/>
      <c r="N117" s="508"/>
      <c r="O117" s="508"/>
      <c r="P117" s="508"/>
      <c r="Q117" s="508"/>
      <c r="R117" s="508"/>
      <c r="S117" s="508"/>
      <c r="T117" s="508"/>
      <c r="U117" s="509"/>
    </row>
    <row r="118" spans="2:21" ht="18" thickBot="1" x14ac:dyDescent="0.45">
      <c r="B118" s="496"/>
      <c r="C118" s="497"/>
      <c r="D118" s="363" t="s">
        <v>43</v>
      </c>
      <c r="E118" s="510" t="s">
        <v>402</v>
      </c>
      <c r="F118" s="511"/>
      <c r="G118" s="511"/>
      <c r="H118" s="511"/>
      <c r="I118" s="511"/>
      <c r="J118" s="511"/>
      <c r="K118" s="511"/>
      <c r="L118" s="511"/>
      <c r="M118" s="511"/>
      <c r="N118" s="511"/>
      <c r="O118" s="511"/>
      <c r="P118" s="511"/>
      <c r="Q118" s="511"/>
      <c r="R118" s="511"/>
      <c r="S118" s="511"/>
      <c r="T118" s="511"/>
      <c r="U118" s="512"/>
    </row>
    <row r="119" spans="2:21" ht="18" thickBot="1" x14ac:dyDescent="0.45">
      <c r="B119" s="496"/>
      <c r="C119" s="497"/>
      <c r="D119" s="358" t="s">
        <v>159</v>
      </c>
      <c r="E119" s="507" t="s">
        <v>403</v>
      </c>
      <c r="F119" s="508"/>
      <c r="G119" s="508"/>
      <c r="H119" s="508"/>
      <c r="I119" s="508"/>
      <c r="J119" s="508"/>
      <c r="K119" s="508"/>
      <c r="L119" s="508"/>
      <c r="M119" s="508"/>
      <c r="N119" s="508"/>
      <c r="O119" s="508"/>
      <c r="P119" s="508"/>
      <c r="Q119" s="508"/>
      <c r="R119" s="508"/>
      <c r="S119" s="508"/>
      <c r="T119" s="508"/>
      <c r="U119" s="509"/>
    </row>
    <row r="120" spans="2:21" ht="18" thickBot="1" x14ac:dyDescent="0.45">
      <c r="B120" s="496"/>
      <c r="C120" s="497"/>
      <c r="D120" s="363" t="s">
        <v>160</v>
      </c>
      <c r="E120" s="510" t="s">
        <v>404</v>
      </c>
      <c r="F120" s="511"/>
      <c r="G120" s="511"/>
      <c r="H120" s="511"/>
      <c r="I120" s="511"/>
      <c r="J120" s="511"/>
      <c r="K120" s="511"/>
      <c r="L120" s="511"/>
      <c r="M120" s="511"/>
      <c r="N120" s="511"/>
      <c r="O120" s="511"/>
      <c r="P120" s="511"/>
      <c r="Q120" s="511"/>
      <c r="R120" s="511"/>
      <c r="S120" s="511"/>
      <c r="T120" s="511"/>
      <c r="U120" s="512"/>
    </row>
    <row r="121" spans="2:21" ht="18" thickBot="1" x14ac:dyDescent="0.45">
      <c r="B121" s="496"/>
      <c r="C121" s="497"/>
      <c r="D121" s="358" t="s">
        <v>161</v>
      </c>
      <c r="E121" s="507" t="s">
        <v>405</v>
      </c>
      <c r="F121" s="508"/>
      <c r="G121" s="508"/>
      <c r="H121" s="508"/>
      <c r="I121" s="508"/>
      <c r="J121" s="508"/>
      <c r="K121" s="508"/>
      <c r="L121" s="508"/>
      <c r="M121" s="508"/>
      <c r="N121" s="508"/>
      <c r="O121" s="508"/>
      <c r="P121" s="508"/>
      <c r="Q121" s="508"/>
      <c r="R121" s="508"/>
      <c r="S121" s="508"/>
      <c r="T121" s="508"/>
      <c r="U121" s="509"/>
    </row>
    <row r="122" spans="2:21" ht="18" thickBot="1" x14ac:dyDescent="0.45">
      <c r="B122" s="496"/>
      <c r="C122" s="497"/>
      <c r="D122" s="363" t="s">
        <v>162</v>
      </c>
      <c r="E122" s="510" t="s">
        <v>406</v>
      </c>
      <c r="F122" s="511"/>
      <c r="G122" s="511"/>
      <c r="H122" s="511"/>
      <c r="I122" s="511"/>
      <c r="J122" s="511"/>
      <c r="K122" s="511"/>
      <c r="L122" s="511"/>
      <c r="M122" s="511"/>
      <c r="N122" s="511"/>
      <c r="O122" s="511"/>
      <c r="P122" s="511"/>
      <c r="Q122" s="511"/>
      <c r="R122" s="511"/>
      <c r="S122" s="511"/>
      <c r="T122" s="511"/>
      <c r="U122" s="512"/>
    </row>
    <row r="123" spans="2:21" ht="18" thickBot="1" x14ac:dyDescent="0.45">
      <c r="B123" s="496"/>
      <c r="C123" s="497"/>
      <c r="D123" s="358" t="s">
        <v>297</v>
      </c>
      <c r="E123" s="507" t="s">
        <v>395</v>
      </c>
      <c r="F123" s="508"/>
      <c r="G123" s="508"/>
      <c r="H123" s="508"/>
      <c r="I123" s="508"/>
      <c r="J123" s="508"/>
      <c r="K123" s="508"/>
      <c r="L123" s="508"/>
      <c r="M123" s="508"/>
      <c r="N123" s="508"/>
      <c r="O123" s="508"/>
      <c r="P123" s="508"/>
      <c r="Q123" s="508"/>
      <c r="R123" s="508"/>
      <c r="S123" s="508"/>
      <c r="T123" s="508"/>
      <c r="U123" s="509"/>
    </row>
    <row r="124" spans="2:21" ht="18" thickBot="1" x14ac:dyDescent="0.45">
      <c r="B124" s="496"/>
      <c r="C124" s="497"/>
      <c r="D124" s="363" t="s">
        <v>298</v>
      </c>
      <c r="E124" s="510" t="s">
        <v>396</v>
      </c>
      <c r="F124" s="511"/>
      <c r="G124" s="511"/>
      <c r="H124" s="511"/>
      <c r="I124" s="511"/>
      <c r="J124" s="511"/>
      <c r="K124" s="511"/>
      <c r="L124" s="511"/>
      <c r="M124" s="511"/>
      <c r="N124" s="511"/>
      <c r="O124" s="511"/>
      <c r="P124" s="511"/>
      <c r="Q124" s="511"/>
      <c r="R124" s="511"/>
      <c r="S124" s="511"/>
      <c r="T124" s="511"/>
      <c r="U124" s="512"/>
    </row>
    <row r="125" spans="2:21" ht="18" thickBot="1" x14ac:dyDescent="0.45">
      <c r="B125" s="496"/>
      <c r="C125" s="497"/>
      <c r="D125" s="358" t="s">
        <v>163</v>
      </c>
      <c r="E125" s="507" t="s">
        <v>409</v>
      </c>
      <c r="F125" s="508"/>
      <c r="G125" s="508"/>
      <c r="H125" s="508"/>
      <c r="I125" s="508"/>
      <c r="J125" s="508"/>
      <c r="K125" s="508"/>
      <c r="L125" s="508"/>
      <c r="M125" s="508"/>
      <c r="N125" s="508"/>
      <c r="O125" s="508"/>
      <c r="P125" s="508"/>
      <c r="Q125" s="508"/>
      <c r="R125" s="508"/>
      <c r="S125" s="508"/>
      <c r="T125" s="508"/>
      <c r="U125" s="509"/>
    </row>
    <row r="126" spans="2:21" ht="18" thickBot="1" x14ac:dyDescent="0.45">
      <c r="B126" s="496"/>
      <c r="C126" s="497"/>
      <c r="D126" s="363" t="s">
        <v>164</v>
      </c>
      <c r="E126" s="510" t="s">
        <v>398</v>
      </c>
      <c r="F126" s="511"/>
      <c r="G126" s="511"/>
      <c r="H126" s="511"/>
      <c r="I126" s="511"/>
      <c r="J126" s="511"/>
      <c r="K126" s="511"/>
      <c r="L126" s="511"/>
      <c r="M126" s="511"/>
      <c r="N126" s="511"/>
      <c r="O126" s="511"/>
      <c r="P126" s="511"/>
      <c r="Q126" s="511"/>
      <c r="R126" s="511"/>
      <c r="S126" s="511"/>
      <c r="T126" s="511"/>
      <c r="U126" s="512"/>
    </row>
    <row r="127" spans="2:21" ht="18" thickBot="1" x14ac:dyDescent="0.45">
      <c r="B127" s="496"/>
      <c r="C127" s="497"/>
      <c r="D127" s="358" t="s">
        <v>165</v>
      </c>
      <c r="E127" s="507" t="s">
        <v>399</v>
      </c>
      <c r="F127" s="508"/>
      <c r="G127" s="508"/>
      <c r="H127" s="508"/>
      <c r="I127" s="508"/>
      <c r="J127" s="508"/>
      <c r="K127" s="508"/>
      <c r="L127" s="508"/>
      <c r="M127" s="508"/>
      <c r="N127" s="508"/>
      <c r="O127" s="508"/>
      <c r="P127" s="508"/>
      <c r="Q127" s="508"/>
      <c r="R127" s="508"/>
      <c r="S127" s="508"/>
      <c r="T127" s="508"/>
      <c r="U127" s="509"/>
    </row>
    <row r="128" spans="2:21" ht="18" thickBot="1" x14ac:dyDescent="0.45">
      <c r="B128" s="496"/>
      <c r="C128" s="497"/>
      <c r="D128" s="363" t="s">
        <v>166</v>
      </c>
      <c r="E128" s="510" t="s">
        <v>400</v>
      </c>
      <c r="F128" s="511"/>
      <c r="G128" s="511"/>
      <c r="H128" s="511"/>
      <c r="I128" s="511"/>
      <c r="J128" s="511"/>
      <c r="K128" s="511"/>
      <c r="L128" s="511"/>
      <c r="M128" s="511"/>
      <c r="N128" s="511"/>
      <c r="O128" s="511"/>
      <c r="P128" s="511"/>
      <c r="Q128" s="511"/>
      <c r="R128" s="511"/>
      <c r="S128" s="511"/>
      <c r="T128" s="511"/>
      <c r="U128" s="512"/>
    </row>
    <row r="129" spans="2:21" ht="18" thickBot="1" x14ac:dyDescent="0.45">
      <c r="B129" s="496"/>
      <c r="C129" s="497"/>
      <c r="D129" s="358" t="s">
        <v>167</v>
      </c>
      <c r="E129" s="507" t="s">
        <v>401</v>
      </c>
      <c r="F129" s="508"/>
      <c r="G129" s="508"/>
      <c r="H129" s="508"/>
      <c r="I129" s="508"/>
      <c r="J129" s="508"/>
      <c r="K129" s="508"/>
      <c r="L129" s="508"/>
      <c r="M129" s="508"/>
      <c r="N129" s="508"/>
      <c r="O129" s="508"/>
      <c r="P129" s="508"/>
      <c r="Q129" s="508"/>
      <c r="R129" s="508"/>
      <c r="S129" s="508"/>
      <c r="T129" s="508"/>
      <c r="U129" s="509"/>
    </row>
    <row r="130" spans="2:21" ht="18" thickBot="1" x14ac:dyDescent="0.45">
      <c r="B130" s="496"/>
      <c r="C130" s="497"/>
      <c r="D130" s="363" t="s">
        <v>168</v>
      </c>
      <c r="E130" s="510" t="s">
        <v>402</v>
      </c>
      <c r="F130" s="511"/>
      <c r="G130" s="511"/>
      <c r="H130" s="511"/>
      <c r="I130" s="511"/>
      <c r="J130" s="511"/>
      <c r="K130" s="511"/>
      <c r="L130" s="511"/>
      <c r="M130" s="511"/>
      <c r="N130" s="511"/>
      <c r="O130" s="511"/>
      <c r="P130" s="511"/>
      <c r="Q130" s="511"/>
      <c r="R130" s="511"/>
      <c r="S130" s="511"/>
      <c r="T130" s="511"/>
      <c r="U130" s="512"/>
    </row>
    <row r="131" spans="2:21" ht="18" thickBot="1" x14ac:dyDescent="0.45">
      <c r="B131" s="498"/>
      <c r="C131" s="499"/>
      <c r="D131" s="358" t="s">
        <v>169</v>
      </c>
      <c r="E131" s="507" t="s">
        <v>403</v>
      </c>
      <c r="F131" s="508"/>
      <c r="G131" s="508"/>
      <c r="H131" s="508"/>
      <c r="I131" s="508"/>
      <c r="J131" s="508"/>
      <c r="K131" s="508"/>
      <c r="L131" s="508"/>
      <c r="M131" s="508"/>
      <c r="N131" s="508"/>
      <c r="O131" s="508"/>
      <c r="P131" s="508"/>
      <c r="Q131" s="508"/>
      <c r="R131" s="508"/>
      <c r="S131" s="508"/>
      <c r="T131" s="508"/>
      <c r="U131" s="509"/>
    </row>
    <row r="132" spans="2:21" ht="29.25" thickBot="1" x14ac:dyDescent="0.45">
      <c r="B132" s="494" t="s">
        <v>170</v>
      </c>
      <c r="C132" s="495"/>
      <c r="D132" s="363" t="s">
        <v>171</v>
      </c>
      <c r="E132" s="510" t="s">
        <v>410</v>
      </c>
      <c r="F132" s="511"/>
      <c r="G132" s="511"/>
      <c r="H132" s="511"/>
      <c r="I132" s="511"/>
      <c r="J132" s="511"/>
      <c r="K132" s="511"/>
      <c r="L132" s="511"/>
      <c r="M132" s="511"/>
      <c r="N132" s="511"/>
      <c r="O132" s="511"/>
      <c r="P132" s="511"/>
      <c r="Q132" s="511"/>
      <c r="R132" s="511"/>
      <c r="S132" s="511"/>
      <c r="T132" s="511"/>
      <c r="U132" s="512"/>
    </row>
    <row r="133" spans="2:21" ht="29.25" thickBot="1" x14ac:dyDescent="0.45">
      <c r="B133" s="496"/>
      <c r="C133" s="497"/>
      <c r="D133" s="358" t="s">
        <v>172</v>
      </c>
      <c r="E133" s="507" t="s">
        <v>411</v>
      </c>
      <c r="F133" s="508"/>
      <c r="G133" s="508"/>
      <c r="H133" s="508"/>
      <c r="I133" s="508"/>
      <c r="J133" s="508"/>
      <c r="K133" s="508"/>
      <c r="L133" s="508"/>
      <c r="M133" s="508"/>
      <c r="N133" s="508"/>
      <c r="O133" s="508"/>
      <c r="P133" s="508"/>
      <c r="Q133" s="508"/>
      <c r="R133" s="508"/>
      <c r="S133" s="508"/>
      <c r="T133" s="508"/>
      <c r="U133" s="509"/>
    </row>
    <row r="134" spans="2:21" ht="18" thickBot="1" x14ac:dyDescent="0.45">
      <c r="B134" s="496"/>
      <c r="C134" s="497"/>
      <c r="D134" s="363" t="s">
        <v>173</v>
      </c>
      <c r="E134" s="510" t="s">
        <v>412</v>
      </c>
      <c r="F134" s="511"/>
      <c r="G134" s="511"/>
      <c r="H134" s="511"/>
      <c r="I134" s="511"/>
      <c r="J134" s="511"/>
      <c r="K134" s="511"/>
      <c r="L134" s="511"/>
      <c r="M134" s="511"/>
      <c r="N134" s="511"/>
      <c r="O134" s="511"/>
      <c r="P134" s="511"/>
      <c r="Q134" s="511"/>
      <c r="R134" s="511"/>
      <c r="S134" s="511"/>
      <c r="T134" s="511"/>
      <c r="U134" s="512"/>
    </row>
    <row r="135" spans="2:21" ht="43.5" thickBot="1" x14ac:dyDescent="0.45">
      <c r="B135" s="498"/>
      <c r="C135" s="499"/>
      <c r="D135" s="358" t="s">
        <v>220</v>
      </c>
      <c r="E135" s="507" t="s">
        <v>413</v>
      </c>
      <c r="F135" s="508"/>
      <c r="G135" s="508"/>
      <c r="H135" s="508"/>
      <c r="I135" s="508"/>
      <c r="J135" s="508"/>
      <c r="K135" s="508"/>
      <c r="L135" s="508"/>
      <c r="M135" s="508"/>
      <c r="N135" s="508"/>
      <c r="O135" s="508"/>
      <c r="P135" s="508"/>
      <c r="Q135" s="508"/>
      <c r="R135" s="508"/>
      <c r="S135" s="508"/>
      <c r="T135" s="508"/>
      <c r="U135" s="509"/>
    </row>
    <row r="136" spans="2:21" ht="18" thickBot="1" x14ac:dyDescent="0.45">
      <c r="B136" s="494" t="s">
        <v>40</v>
      </c>
      <c r="C136" s="495"/>
      <c r="D136" s="363" t="s">
        <v>44</v>
      </c>
      <c r="E136" s="510" t="s">
        <v>399</v>
      </c>
      <c r="F136" s="511"/>
      <c r="G136" s="511"/>
      <c r="H136" s="511"/>
      <c r="I136" s="511"/>
      <c r="J136" s="511"/>
      <c r="K136" s="511"/>
      <c r="L136" s="511"/>
      <c r="M136" s="511"/>
      <c r="N136" s="511"/>
      <c r="O136" s="511"/>
      <c r="P136" s="511"/>
      <c r="Q136" s="511"/>
      <c r="R136" s="511"/>
      <c r="S136" s="511"/>
      <c r="T136" s="511"/>
      <c r="U136" s="512"/>
    </row>
    <row r="137" spans="2:21" ht="18" thickBot="1" x14ac:dyDescent="0.45">
      <c r="B137" s="496"/>
      <c r="C137" s="497"/>
      <c r="D137" s="358" t="s">
        <v>20</v>
      </c>
      <c r="E137" s="507" t="s">
        <v>414</v>
      </c>
      <c r="F137" s="508"/>
      <c r="G137" s="508"/>
      <c r="H137" s="508"/>
      <c r="I137" s="508"/>
      <c r="J137" s="508"/>
      <c r="K137" s="508"/>
      <c r="L137" s="508"/>
      <c r="M137" s="508"/>
      <c r="N137" s="508"/>
      <c r="O137" s="508"/>
      <c r="P137" s="508"/>
      <c r="Q137" s="508"/>
      <c r="R137" s="508"/>
      <c r="S137" s="508"/>
      <c r="T137" s="508"/>
      <c r="U137" s="509"/>
    </row>
    <row r="138" spans="2:21" ht="29.25" thickBot="1" x14ac:dyDescent="0.45">
      <c r="B138" s="496"/>
      <c r="C138" s="497"/>
      <c r="D138" s="363" t="s">
        <v>64</v>
      </c>
      <c r="E138" s="510" t="s">
        <v>415</v>
      </c>
      <c r="F138" s="511"/>
      <c r="G138" s="511"/>
      <c r="H138" s="511"/>
      <c r="I138" s="511"/>
      <c r="J138" s="511"/>
      <c r="K138" s="511"/>
      <c r="L138" s="511"/>
      <c r="M138" s="511"/>
      <c r="N138" s="511"/>
      <c r="O138" s="511"/>
      <c r="P138" s="511"/>
      <c r="Q138" s="511"/>
      <c r="R138" s="511"/>
      <c r="S138" s="511"/>
      <c r="T138" s="511"/>
      <c r="U138" s="512"/>
    </row>
    <row r="139" spans="2:21" ht="18" thickBot="1" x14ac:dyDescent="0.45">
      <c r="B139" s="496"/>
      <c r="C139" s="497"/>
      <c r="D139" s="358" t="s">
        <v>25</v>
      </c>
      <c r="E139" s="507" t="s">
        <v>416</v>
      </c>
      <c r="F139" s="508"/>
      <c r="G139" s="508"/>
      <c r="H139" s="508"/>
      <c r="I139" s="508"/>
      <c r="J139" s="508"/>
      <c r="K139" s="508"/>
      <c r="L139" s="508"/>
      <c r="M139" s="508"/>
      <c r="N139" s="508"/>
      <c r="O139" s="508"/>
      <c r="P139" s="508"/>
      <c r="Q139" s="508"/>
      <c r="R139" s="508"/>
      <c r="S139" s="508"/>
      <c r="T139" s="508"/>
      <c r="U139" s="509"/>
    </row>
    <row r="140" spans="2:21" ht="18" thickBot="1" x14ac:dyDescent="0.45">
      <c r="B140" s="496"/>
      <c r="C140" s="497"/>
      <c r="D140" s="363" t="s">
        <v>45</v>
      </c>
      <c r="E140" s="510" t="s">
        <v>399</v>
      </c>
      <c r="F140" s="511"/>
      <c r="G140" s="511"/>
      <c r="H140" s="511"/>
      <c r="I140" s="511"/>
      <c r="J140" s="511"/>
      <c r="K140" s="511"/>
      <c r="L140" s="511"/>
      <c r="M140" s="511"/>
      <c r="N140" s="511"/>
      <c r="O140" s="511"/>
      <c r="P140" s="511"/>
      <c r="Q140" s="511"/>
      <c r="R140" s="511"/>
      <c r="S140" s="511"/>
      <c r="T140" s="511"/>
      <c r="U140" s="512"/>
    </row>
    <row r="141" spans="2:21" ht="18" thickBot="1" x14ac:dyDescent="0.45">
      <c r="B141" s="496"/>
      <c r="C141" s="497"/>
      <c r="D141" s="358" t="s">
        <v>46</v>
      </c>
      <c r="E141" s="507" t="s">
        <v>414</v>
      </c>
      <c r="F141" s="508"/>
      <c r="G141" s="508"/>
      <c r="H141" s="508"/>
      <c r="I141" s="508"/>
      <c r="J141" s="508"/>
      <c r="K141" s="508"/>
      <c r="L141" s="508"/>
      <c r="M141" s="508"/>
      <c r="N141" s="508"/>
      <c r="O141" s="508"/>
      <c r="P141" s="508"/>
      <c r="Q141" s="508"/>
      <c r="R141" s="508"/>
      <c r="S141" s="508"/>
      <c r="T141" s="508"/>
      <c r="U141" s="509"/>
    </row>
    <row r="142" spans="2:21" ht="29.25" thickBot="1" x14ac:dyDescent="0.45">
      <c r="B142" s="496"/>
      <c r="C142" s="497"/>
      <c r="D142" s="363" t="s">
        <v>66</v>
      </c>
      <c r="E142" s="510" t="s">
        <v>415</v>
      </c>
      <c r="F142" s="511"/>
      <c r="G142" s="511"/>
      <c r="H142" s="511"/>
      <c r="I142" s="511"/>
      <c r="J142" s="511"/>
      <c r="K142" s="511"/>
      <c r="L142" s="511"/>
      <c r="M142" s="511"/>
      <c r="N142" s="511"/>
      <c r="O142" s="511"/>
      <c r="P142" s="511"/>
      <c r="Q142" s="511"/>
      <c r="R142" s="511"/>
      <c r="S142" s="511"/>
      <c r="T142" s="511"/>
      <c r="U142" s="512"/>
    </row>
    <row r="143" spans="2:21" ht="18" thickBot="1" x14ac:dyDescent="0.45">
      <c r="B143" s="496"/>
      <c r="C143" s="497"/>
      <c r="D143" s="358" t="s">
        <v>47</v>
      </c>
      <c r="E143" s="507" t="s">
        <v>416</v>
      </c>
      <c r="F143" s="508"/>
      <c r="G143" s="508"/>
      <c r="H143" s="508"/>
      <c r="I143" s="508"/>
      <c r="J143" s="508"/>
      <c r="K143" s="508"/>
      <c r="L143" s="508"/>
      <c r="M143" s="508"/>
      <c r="N143" s="508"/>
      <c r="O143" s="508"/>
      <c r="P143" s="508"/>
      <c r="Q143" s="508"/>
      <c r="R143" s="508"/>
      <c r="S143" s="508"/>
      <c r="T143" s="508"/>
      <c r="U143" s="509"/>
    </row>
    <row r="144" spans="2:21" ht="18" thickBot="1" x14ac:dyDescent="0.45">
      <c r="B144" s="496"/>
      <c r="C144" s="497"/>
      <c r="D144" s="363" t="s">
        <v>48</v>
      </c>
      <c r="E144" s="510" t="s">
        <v>399</v>
      </c>
      <c r="F144" s="511"/>
      <c r="G144" s="511"/>
      <c r="H144" s="511"/>
      <c r="I144" s="511"/>
      <c r="J144" s="511"/>
      <c r="K144" s="511"/>
      <c r="L144" s="511"/>
      <c r="M144" s="511"/>
      <c r="N144" s="511"/>
      <c r="O144" s="511"/>
      <c r="P144" s="511"/>
      <c r="Q144" s="511"/>
      <c r="R144" s="511"/>
      <c r="S144" s="511"/>
      <c r="T144" s="511"/>
      <c r="U144" s="512"/>
    </row>
    <row r="145" spans="2:21" ht="18" thickBot="1" x14ac:dyDescent="0.45">
      <c r="B145" s="496"/>
      <c r="C145" s="497"/>
      <c r="D145" s="358" t="s">
        <v>49</v>
      </c>
      <c r="E145" s="507" t="s">
        <v>414</v>
      </c>
      <c r="F145" s="508"/>
      <c r="G145" s="508"/>
      <c r="H145" s="508"/>
      <c r="I145" s="508"/>
      <c r="J145" s="508"/>
      <c r="K145" s="508"/>
      <c r="L145" s="508"/>
      <c r="M145" s="508"/>
      <c r="N145" s="508"/>
      <c r="O145" s="508"/>
      <c r="P145" s="508"/>
      <c r="Q145" s="508"/>
      <c r="R145" s="508"/>
      <c r="S145" s="508"/>
      <c r="T145" s="508"/>
      <c r="U145" s="509"/>
    </row>
    <row r="146" spans="2:21" ht="29.25" thickBot="1" x14ac:dyDescent="0.45">
      <c r="B146" s="496"/>
      <c r="C146" s="497"/>
      <c r="D146" s="363" t="s">
        <v>65</v>
      </c>
      <c r="E146" s="510" t="s">
        <v>415</v>
      </c>
      <c r="F146" s="511"/>
      <c r="G146" s="511"/>
      <c r="H146" s="511"/>
      <c r="I146" s="511"/>
      <c r="J146" s="511"/>
      <c r="K146" s="511"/>
      <c r="L146" s="511"/>
      <c r="M146" s="511"/>
      <c r="N146" s="511"/>
      <c r="O146" s="511"/>
      <c r="P146" s="511"/>
      <c r="Q146" s="511"/>
      <c r="R146" s="511"/>
      <c r="S146" s="511"/>
      <c r="T146" s="511"/>
      <c r="U146" s="512"/>
    </row>
    <row r="147" spans="2:21" ht="18" thickBot="1" x14ac:dyDescent="0.45">
      <c r="B147" s="498"/>
      <c r="C147" s="499"/>
      <c r="D147" s="358" t="s">
        <v>50</v>
      </c>
      <c r="E147" s="507" t="s">
        <v>416</v>
      </c>
      <c r="F147" s="508"/>
      <c r="G147" s="508"/>
      <c r="H147" s="508"/>
      <c r="I147" s="508"/>
      <c r="J147" s="508"/>
      <c r="K147" s="508"/>
      <c r="L147" s="508"/>
      <c r="M147" s="508"/>
      <c r="N147" s="508"/>
      <c r="O147" s="508"/>
      <c r="P147" s="508"/>
      <c r="Q147" s="508"/>
      <c r="R147" s="508"/>
      <c r="S147" s="508"/>
      <c r="T147" s="508"/>
      <c r="U147" s="509"/>
    </row>
    <row r="148" spans="2:21" ht="18" thickBot="1" x14ac:dyDescent="0.45">
      <c r="B148" s="494" t="s">
        <v>289</v>
      </c>
      <c r="C148" s="495"/>
      <c r="D148" s="363" t="s">
        <v>266</v>
      </c>
      <c r="E148" s="510" t="s">
        <v>417</v>
      </c>
      <c r="F148" s="511"/>
      <c r="G148" s="511"/>
      <c r="H148" s="511"/>
      <c r="I148" s="511"/>
      <c r="J148" s="511"/>
      <c r="K148" s="511"/>
      <c r="L148" s="511"/>
      <c r="M148" s="511"/>
      <c r="N148" s="511"/>
      <c r="O148" s="511"/>
      <c r="P148" s="511"/>
      <c r="Q148" s="511"/>
      <c r="R148" s="511"/>
      <c r="S148" s="511"/>
      <c r="T148" s="511"/>
      <c r="U148" s="512"/>
    </row>
    <row r="149" spans="2:21" ht="29.25" thickBot="1" x14ac:dyDescent="0.45">
      <c r="B149" s="496"/>
      <c r="C149" s="497"/>
      <c r="D149" s="358" t="s">
        <v>268</v>
      </c>
      <c r="E149" s="507" t="s">
        <v>417</v>
      </c>
      <c r="F149" s="508"/>
      <c r="G149" s="508"/>
      <c r="H149" s="508"/>
      <c r="I149" s="508"/>
      <c r="J149" s="508"/>
      <c r="K149" s="508"/>
      <c r="L149" s="508"/>
      <c r="M149" s="508"/>
      <c r="N149" s="508"/>
      <c r="O149" s="508"/>
      <c r="P149" s="508"/>
      <c r="Q149" s="508"/>
      <c r="R149" s="508"/>
      <c r="S149" s="508"/>
      <c r="T149" s="508"/>
      <c r="U149" s="509"/>
    </row>
    <row r="150" spans="2:21" ht="29.25" thickBot="1" x14ac:dyDescent="0.45">
      <c r="B150" s="496"/>
      <c r="C150" s="497"/>
      <c r="D150" s="363" t="s">
        <v>270</v>
      </c>
      <c r="E150" s="510" t="s">
        <v>417</v>
      </c>
      <c r="F150" s="511"/>
      <c r="G150" s="511"/>
      <c r="H150" s="511"/>
      <c r="I150" s="511"/>
      <c r="J150" s="511"/>
      <c r="K150" s="511"/>
      <c r="L150" s="511"/>
      <c r="M150" s="511"/>
      <c r="N150" s="511"/>
      <c r="O150" s="511"/>
      <c r="P150" s="511"/>
      <c r="Q150" s="511"/>
      <c r="R150" s="511"/>
      <c r="S150" s="511"/>
      <c r="T150" s="511"/>
      <c r="U150" s="512"/>
    </row>
    <row r="151" spans="2:21" ht="18" thickBot="1" x14ac:dyDescent="0.45">
      <c r="B151" s="496"/>
      <c r="C151" s="497"/>
      <c r="D151" s="358" t="s">
        <v>272</v>
      </c>
      <c r="E151" s="507" t="s">
        <v>417</v>
      </c>
      <c r="F151" s="508"/>
      <c r="G151" s="508"/>
      <c r="H151" s="508"/>
      <c r="I151" s="508"/>
      <c r="J151" s="508"/>
      <c r="K151" s="508"/>
      <c r="L151" s="508"/>
      <c r="M151" s="508"/>
      <c r="N151" s="508"/>
      <c r="O151" s="508"/>
      <c r="P151" s="508"/>
      <c r="Q151" s="508"/>
      <c r="R151" s="508"/>
      <c r="S151" s="508"/>
      <c r="T151" s="508"/>
      <c r="U151" s="509"/>
    </row>
    <row r="152" spans="2:21" ht="18" thickBot="1" x14ac:dyDescent="0.45">
      <c r="B152" s="496"/>
      <c r="C152" s="497"/>
      <c r="D152" s="363" t="s">
        <v>274</v>
      </c>
      <c r="E152" s="510" t="s">
        <v>417</v>
      </c>
      <c r="F152" s="511"/>
      <c r="G152" s="511"/>
      <c r="H152" s="511"/>
      <c r="I152" s="511"/>
      <c r="J152" s="511"/>
      <c r="K152" s="511"/>
      <c r="L152" s="511"/>
      <c r="M152" s="511"/>
      <c r="N152" s="511"/>
      <c r="O152" s="511"/>
      <c r="P152" s="511"/>
      <c r="Q152" s="511"/>
      <c r="R152" s="511"/>
      <c r="S152" s="511"/>
      <c r="T152" s="511"/>
      <c r="U152" s="512"/>
    </row>
    <row r="153" spans="2:21" ht="29.25" thickBot="1" x14ac:dyDescent="0.45">
      <c r="B153" s="498"/>
      <c r="C153" s="499"/>
      <c r="D153" s="358" t="s">
        <v>276</v>
      </c>
      <c r="E153" s="507" t="s">
        <v>417</v>
      </c>
      <c r="F153" s="508"/>
      <c r="G153" s="508"/>
      <c r="H153" s="508"/>
      <c r="I153" s="508"/>
      <c r="J153" s="508"/>
      <c r="K153" s="508"/>
      <c r="L153" s="508"/>
      <c r="M153" s="508"/>
      <c r="N153" s="508"/>
      <c r="O153" s="508"/>
      <c r="P153" s="508"/>
      <c r="Q153" s="508"/>
      <c r="R153" s="508"/>
      <c r="S153" s="508"/>
      <c r="T153" s="508"/>
      <c r="U153" s="509"/>
    </row>
    <row r="154" spans="2:21" ht="18" customHeight="1" x14ac:dyDescent="0.4">
      <c r="B154" s="494" t="s">
        <v>299</v>
      </c>
      <c r="C154" s="495"/>
      <c r="D154" s="492" t="s">
        <v>346</v>
      </c>
      <c r="E154" s="500" t="s">
        <v>419</v>
      </c>
      <c r="F154" s="500"/>
      <c r="G154" s="500"/>
      <c r="H154" s="500"/>
      <c r="I154" s="500"/>
      <c r="J154" s="500"/>
      <c r="K154" s="500"/>
      <c r="L154" s="500"/>
      <c r="M154" s="500"/>
      <c r="N154" s="500"/>
      <c r="O154" s="500"/>
      <c r="P154" s="500"/>
      <c r="Q154" s="500"/>
      <c r="R154" s="500"/>
      <c r="S154" s="500"/>
      <c r="T154" s="500"/>
      <c r="U154" s="501"/>
    </row>
    <row r="155" spans="2:21" ht="18" thickBot="1" x14ac:dyDescent="0.45">
      <c r="B155" s="496"/>
      <c r="C155" s="497"/>
      <c r="D155" s="493"/>
      <c r="E155" s="502" t="s">
        <v>418</v>
      </c>
      <c r="F155" s="502"/>
      <c r="G155" s="502"/>
      <c r="H155" s="502"/>
      <c r="I155" s="502"/>
      <c r="J155" s="502"/>
      <c r="K155" s="502"/>
      <c r="L155" s="502"/>
      <c r="M155" s="502"/>
      <c r="N155" s="502"/>
      <c r="O155" s="502"/>
      <c r="P155" s="502"/>
      <c r="Q155" s="502"/>
      <c r="R155" s="502"/>
      <c r="S155" s="502"/>
      <c r="T155" s="502"/>
      <c r="U155" s="503"/>
    </row>
    <row r="156" spans="2:21" x14ac:dyDescent="0.4">
      <c r="B156" s="496"/>
      <c r="C156" s="497"/>
      <c r="D156" s="492" t="s">
        <v>347</v>
      </c>
      <c r="E156" s="500" t="s">
        <v>419</v>
      </c>
      <c r="F156" s="500"/>
      <c r="G156" s="500"/>
      <c r="H156" s="500"/>
      <c r="I156" s="500"/>
      <c r="J156" s="500"/>
      <c r="K156" s="500"/>
      <c r="L156" s="500"/>
      <c r="M156" s="500"/>
      <c r="N156" s="500"/>
      <c r="O156" s="500"/>
      <c r="P156" s="500"/>
      <c r="Q156" s="500"/>
      <c r="R156" s="500"/>
      <c r="S156" s="500"/>
      <c r="T156" s="500"/>
      <c r="U156" s="501"/>
    </row>
    <row r="157" spans="2:21" ht="18" thickBot="1" x14ac:dyDescent="0.45">
      <c r="B157" s="496"/>
      <c r="C157" s="497"/>
      <c r="D157" s="493"/>
      <c r="E157" s="502" t="s">
        <v>418</v>
      </c>
      <c r="F157" s="502"/>
      <c r="G157" s="502"/>
      <c r="H157" s="502"/>
      <c r="I157" s="502"/>
      <c r="J157" s="502"/>
      <c r="K157" s="502"/>
      <c r="L157" s="502"/>
      <c r="M157" s="502"/>
      <c r="N157" s="502"/>
      <c r="O157" s="502"/>
      <c r="P157" s="502"/>
      <c r="Q157" s="502"/>
      <c r="R157" s="502"/>
      <c r="S157" s="502"/>
      <c r="T157" s="502"/>
      <c r="U157" s="503"/>
    </row>
    <row r="158" spans="2:21" x14ac:dyDescent="0.4">
      <c r="B158" s="496"/>
      <c r="C158" s="497"/>
      <c r="D158" s="492" t="s">
        <v>348</v>
      </c>
      <c r="E158" s="500" t="s">
        <v>419</v>
      </c>
      <c r="F158" s="500"/>
      <c r="G158" s="500"/>
      <c r="H158" s="500"/>
      <c r="I158" s="500"/>
      <c r="J158" s="500"/>
      <c r="K158" s="500"/>
      <c r="L158" s="500"/>
      <c r="M158" s="500"/>
      <c r="N158" s="500"/>
      <c r="O158" s="500"/>
      <c r="P158" s="500"/>
      <c r="Q158" s="500"/>
      <c r="R158" s="500"/>
      <c r="S158" s="500"/>
      <c r="T158" s="500"/>
      <c r="U158" s="501"/>
    </row>
    <row r="159" spans="2:21" ht="18" thickBot="1" x14ac:dyDescent="0.45">
      <c r="B159" s="496"/>
      <c r="C159" s="497"/>
      <c r="D159" s="493"/>
      <c r="E159" s="502" t="s">
        <v>418</v>
      </c>
      <c r="F159" s="502"/>
      <c r="G159" s="502"/>
      <c r="H159" s="502"/>
      <c r="I159" s="502"/>
      <c r="J159" s="502"/>
      <c r="K159" s="502"/>
      <c r="L159" s="502"/>
      <c r="M159" s="502"/>
      <c r="N159" s="502"/>
      <c r="O159" s="502"/>
      <c r="P159" s="502"/>
      <c r="Q159" s="502"/>
      <c r="R159" s="502"/>
      <c r="S159" s="502"/>
      <c r="T159" s="502"/>
      <c r="U159" s="503"/>
    </row>
    <row r="160" spans="2:21" x14ac:dyDescent="0.4">
      <c r="B160" s="496"/>
      <c r="C160" s="497"/>
      <c r="D160" s="492" t="s">
        <v>349</v>
      </c>
      <c r="E160" s="500" t="s">
        <v>419</v>
      </c>
      <c r="F160" s="500"/>
      <c r="G160" s="500"/>
      <c r="H160" s="500"/>
      <c r="I160" s="500"/>
      <c r="J160" s="500"/>
      <c r="K160" s="500"/>
      <c r="L160" s="500"/>
      <c r="M160" s="500"/>
      <c r="N160" s="500"/>
      <c r="O160" s="500"/>
      <c r="P160" s="500"/>
      <c r="Q160" s="500"/>
      <c r="R160" s="500"/>
      <c r="S160" s="500"/>
      <c r="T160" s="500"/>
      <c r="U160" s="501"/>
    </row>
    <row r="161" spans="2:21" ht="18" thickBot="1" x14ac:dyDescent="0.45">
      <c r="B161" s="496"/>
      <c r="C161" s="497"/>
      <c r="D161" s="493"/>
      <c r="E161" s="502" t="s">
        <v>418</v>
      </c>
      <c r="F161" s="502"/>
      <c r="G161" s="502"/>
      <c r="H161" s="502"/>
      <c r="I161" s="502"/>
      <c r="J161" s="502"/>
      <c r="K161" s="502"/>
      <c r="L161" s="502"/>
      <c r="M161" s="502"/>
      <c r="N161" s="502"/>
      <c r="O161" s="502"/>
      <c r="P161" s="502"/>
      <c r="Q161" s="502"/>
      <c r="R161" s="502"/>
      <c r="S161" s="502"/>
      <c r="T161" s="502"/>
      <c r="U161" s="503"/>
    </row>
    <row r="162" spans="2:21" x14ac:dyDescent="0.4">
      <c r="B162" s="496"/>
      <c r="C162" s="497"/>
      <c r="D162" s="492" t="s">
        <v>350</v>
      </c>
      <c r="E162" s="500" t="s">
        <v>419</v>
      </c>
      <c r="F162" s="500"/>
      <c r="G162" s="500"/>
      <c r="H162" s="500"/>
      <c r="I162" s="500"/>
      <c r="J162" s="500"/>
      <c r="K162" s="500"/>
      <c r="L162" s="500"/>
      <c r="M162" s="500"/>
      <c r="N162" s="500"/>
      <c r="O162" s="500"/>
      <c r="P162" s="500"/>
      <c r="Q162" s="500"/>
      <c r="R162" s="500"/>
      <c r="S162" s="500"/>
      <c r="T162" s="500"/>
      <c r="U162" s="501"/>
    </row>
    <row r="163" spans="2:21" ht="18" thickBot="1" x14ac:dyDescent="0.45">
      <c r="B163" s="496"/>
      <c r="C163" s="497"/>
      <c r="D163" s="493"/>
      <c r="E163" s="502" t="s">
        <v>418</v>
      </c>
      <c r="F163" s="502"/>
      <c r="G163" s="502"/>
      <c r="H163" s="502"/>
      <c r="I163" s="502"/>
      <c r="J163" s="502"/>
      <c r="K163" s="502"/>
      <c r="L163" s="502"/>
      <c r="M163" s="502"/>
      <c r="N163" s="502"/>
      <c r="O163" s="502"/>
      <c r="P163" s="502"/>
      <c r="Q163" s="502"/>
      <c r="R163" s="502"/>
      <c r="S163" s="502"/>
      <c r="T163" s="502"/>
      <c r="U163" s="503"/>
    </row>
    <row r="164" spans="2:21" x14ac:dyDescent="0.4">
      <c r="B164" s="496"/>
      <c r="C164" s="497"/>
      <c r="D164" s="492" t="s">
        <v>351</v>
      </c>
      <c r="E164" s="500" t="s">
        <v>419</v>
      </c>
      <c r="F164" s="500"/>
      <c r="G164" s="500"/>
      <c r="H164" s="500"/>
      <c r="I164" s="500"/>
      <c r="J164" s="500"/>
      <c r="K164" s="500"/>
      <c r="L164" s="500"/>
      <c r="M164" s="500"/>
      <c r="N164" s="500"/>
      <c r="O164" s="500"/>
      <c r="P164" s="500"/>
      <c r="Q164" s="500"/>
      <c r="R164" s="500"/>
      <c r="S164" s="500"/>
      <c r="T164" s="500"/>
      <c r="U164" s="501"/>
    </row>
    <row r="165" spans="2:21" ht="18" thickBot="1" x14ac:dyDescent="0.45">
      <c r="B165" s="496"/>
      <c r="C165" s="497"/>
      <c r="D165" s="493"/>
      <c r="E165" s="502" t="s">
        <v>418</v>
      </c>
      <c r="F165" s="502"/>
      <c r="G165" s="502"/>
      <c r="H165" s="502"/>
      <c r="I165" s="502"/>
      <c r="J165" s="502"/>
      <c r="K165" s="502"/>
      <c r="L165" s="502"/>
      <c r="M165" s="502"/>
      <c r="N165" s="502"/>
      <c r="O165" s="502"/>
      <c r="P165" s="502"/>
      <c r="Q165" s="502"/>
      <c r="R165" s="502"/>
      <c r="S165" s="502"/>
      <c r="T165" s="502"/>
      <c r="U165" s="503"/>
    </row>
    <row r="166" spans="2:21" x14ac:dyDescent="0.4">
      <c r="B166" s="496"/>
      <c r="C166" s="497"/>
      <c r="D166" s="492" t="s">
        <v>352</v>
      </c>
      <c r="E166" s="500" t="s">
        <v>419</v>
      </c>
      <c r="F166" s="500"/>
      <c r="G166" s="500"/>
      <c r="H166" s="500"/>
      <c r="I166" s="500"/>
      <c r="J166" s="500"/>
      <c r="K166" s="500"/>
      <c r="L166" s="500"/>
      <c r="M166" s="500"/>
      <c r="N166" s="500"/>
      <c r="O166" s="500"/>
      <c r="P166" s="500"/>
      <c r="Q166" s="500"/>
      <c r="R166" s="500"/>
      <c r="S166" s="500"/>
      <c r="T166" s="500"/>
      <c r="U166" s="501"/>
    </row>
    <row r="167" spans="2:21" ht="18" thickBot="1" x14ac:dyDescent="0.45">
      <c r="B167" s="496"/>
      <c r="C167" s="497"/>
      <c r="D167" s="493"/>
      <c r="E167" s="502" t="s">
        <v>418</v>
      </c>
      <c r="F167" s="502"/>
      <c r="G167" s="502"/>
      <c r="H167" s="502"/>
      <c r="I167" s="502"/>
      <c r="J167" s="502"/>
      <c r="K167" s="502"/>
      <c r="L167" s="502"/>
      <c r="M167" s="502"/>
      <c r="N167" s="502"/>
      <c r="O167" s="502"/>
      <c r="P167" s="502"/>
      <c r="Q167" s="502"/>
      <c r="R167" s="502"/>
      <c r="S167" s="502"/>
      <c r="T167" s="502"/>
      <c r="U167" s="503"/>
    </row>
    <row r="168" spans="2:21" x14ac:dyDescent="0.4">
      <c r="B168" s="496"/>
      <c r="C168" s="497"/>
      <c r="D168" s="492" t="s">
        <v>353</v>
      </c>
      <c r="E168" s="500" t="s">
        <v>419</v>
      </c>
      <c r="F168" s="500"/>
      <c r="G168" s="500"/>
      <c r="H168" s="500"/>
      <c r="I168" s="500"/>
      <c r="J168" s="500"/>
      <c r="K168" s="500"/>
      <c r="L168" s="500"/>
      <c r="M168" s="500"/>
      <c r="N168" s="500"/>
      <c r="O168" s="500"/>
      <c r="P168" s="500"/>
      <c r="Q168" s="500"/>
      <c r="R168" s="500"/>
      <c r="S168" s="500"/>
      <c r="T168" s="500"/>
      <c r="U168" s="501"/>
    </row>
    <row r="169" spans="2:21" ht="18" thickBot="1" x14ac:dyDescent="0.45">
      <c r="B169" s="496"/>
      <c r="C169" s="497"/>
      <c r="D169" s="493"/>
      <c r="E169" s="502" t="s">
        <v>418</v>
      </c>
      <c r="F169" s="502"/>
      <c r="G169" s="502"/>
      <c r="H169" s="502"/>
      <c r="I169" s="502"/>
      <c r="J169" s="502"/>
      <c r="K169" s="502"/>
      <c r="L169" s="502"/>
      <c r="M169" s="502"/>
      <c r="N169" s="502"/>
      <c r="O169" s="502"/>
      <c r="P169" s="502"/>
      <c r="Q169" s="502"/>
      <c r="R169" s="502"/>
      <c r="S169" s="502"/>
      <c r="T169" s="502"/>
      <c r="U169" s="503"/>
    </row>
    <row r="170" spans="2:21" x14ac:dyDescent="0.4">
      <c r="B170" s="496"/>
      <c r="C170" s="497"/>
      <c r="D170" s="492" t="s">
        <v>354</v>
      </c>
      <c r="E170" s="500" t="s">
        <v>419</v>
      </c>
      <c r="F170" s="500"/>
      <c r="G170" s="500"/>
      <c r="H170" s="500"/>
      <c r="I170" s="500"/>
      <c r="J170" s="500"/>
      <c r="K170" s="500"/>
      <c r="L170" s="500"/>
      <c r="M170" s="500"/>
      <c r="N170" s="500"/>
      <c r="O170" s="500"/>
      <c r="P170" s="500"/>
      <c r="Q170" s="500"/>
      <c r="R170" s="500"/>
      <c r="S170" s="500"/>
      <c r="T170" s="500"/>
      <c r="U170" s="501"/>
    </row>
    <row r="171" spans="2:21" ht="18" thickBot="1" x14ac:dyDescent="0.45">
      <c r="B171" s="496"/>
      <c r="C171" s="497"/>
      <c r="D171" s="493"/>
      <c r="E171" s="502" t="s">
        <v>418</v>
      </c>
      <c r="F171" s="502"/>
      <c r="G171" s="502"/>
      <c r="H171" s="502"/>
      <c r="I171" s="502"/>
      <c r="J171" s="502"/>
      <c r="K171" s="502"/>
      <c r="L171" s="502"/>
      <c r="M171" s="502"/>
      <c r="N171" s="502"/>
      <c r="O171" s="502"/>
      <c r="P171" s="502"/>
      <c r="Q171" s="502"/>
      <c r="R171" s="502"/>
      <c r="S171" s="502"/>
      <c r="T171" s="502"/>
      <c r="U171" s="503"/>
    </row>
    <row r="172" spans="2:21" x14ac:dyDescent="0.4">
      <c r="B172" s="496"/>
      <c r="C172" s="497"/>
      <c r="D172" s="492" t="s">
        <v>355</v>
      </c>
      <c r="E172" s="500" t="s">
        <v>419</v>
      </c>
      <c r="F172" s="500"/>
      <c r="G172" s="500"/>
      <c r="H172" s="500"/>
      <c r="I172" s="500"/>
      <c r="J172" s="500"/>
      <c r="K172" s="500"/>
      <c r="L172" s="500"/>
      <c r="M172" s="500"/>
      <c r="N172" s="500"/>
      <c r="O172" s="500"/>
      <c r="P172" s="500"/>
      <c r="Q172" s="500"/>
      <c r="R172" s="500"/>
      <c r="S172" s="500"/>
      <c r="T172" s="500"/>
      <c r="U172" s="501"/>
    </row>
    <row r="173" spans="2:21" ht="18" thickBot="1" x14ac:dyDescent="0.45">
      <c r="B173" s="498"/>
      <c r="C173" s="499"/>
      <c r="D173" s="493"/>
      <c r="E173" s="502" t="s">
        <v>418</v>
      </c>
      <c r="F173" s="502"/>
      <c r="G173" s="502"/>
      <c r="H173" s="502"/>
      <c r="I173" s="502"/>
      <c r="J173" s="502"/>
      <c r="K173" s="502"/>
      <c r="L173" s="502"/>
      <c r="M173" s="502"/>
      <c r="N173" s="502"/>
      <c r="O173" s="502"/>
      <c r="P173" s="502"/>
      <c r="Q173" s="502"/>
      <c r="R173" s="502"/>
      <c r="S173" s="502"/>
      <c r="T173" s="502"/>
      <c r="U173" s="503"/>
    </row>
  </sheetData>
  <sheetProtection algorithmName="SHA-512" hashValue="JhimUhHK77PHmgVWZfBCWxhknCwg2VW6lo3bO3RcMcFoAn/Va8svcvkjh0oY4kT/8KvzlJuNumiNXoQqfAm9lA==" saltValue="3+vpGa1ePgXAEZc8N+GoZw=="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72"/>
  <sheetViews>
    <sheetView rightToLeft="1" view="pageBreakPreview" zoomScale="70" zoomScaleNormal="90" zoomScaleSheetLayoutView="70" workbookViewId="0">
      <pane xSplit="4" ySplit="21" topLeftCell="E78" activePane="bottomRight" state="frozen"/>
      <selection pane="topRight" activeCell="E1" sqref="E1"/>
      <selection pane="bottomLeft" activeCell="A13" sqref="A13"/>
      <selection pane="bottomRight" activeCell="P80" sqref="O80:P80"/>
    </sheetView>
  </sheetViews>
  <sheetFormatPr defaultColWidth="9" defaultRowHeight="18" customHeight="1" x14ac:dyDescent="0.25"/>
  <cols>
    <col min="1" max="1" width="1.42578125" style="7" customWidth="1"/>
    <col min="2" max="2" width="5.7109375" style="2" customWidth="1"/>
    <col min="3" max="3" width="6.28515625" style="2" customWidth="1"/>
    <col min="4" max="4" width="63.140625" style="51" customWidth="1"/>
    <col min="5" max="5" width="14.85546875" style="52" customWidth="1"/>
    <col min="6" max="6" width="13.5703125" style="5" customWidth="1"/>
    <col min="7" max="25" width="13.5703125" style="6" customWidth="1"/>
    <col min="26" max="16384" width="9" style="7"/>
  </cols>
  <sheetData>
    <row r="1" spans="1:25" ht="18" customHeight="1" thickBot="1" x14ac:dyDescent="0.3">
      <c r="D1" s="3"/>
      <c r="E1" s="4"/>
    </row>
    <row r="2" spans="1:25" ht="18.75" customHeight="1" x14ac:dyDescent="0.25">
      <c r="B2" s="534" t="s">
        <v>14</v>
      </c>
      <c r="C2" s="540"/>
      <c r="D2" s="8" t="s">
        <v>56</v>
      </c>
      <c r="E2" s="10" t="s">
        <v>436</v>
      </c>
      <c r="F2" s="9" t="s">
        <v>436</v>
      </c>
      <c r="G2" s="10" t="s">
        <v>436</v>
      </c>
      <c r="H2" s="9" t="s">
        <v>436</v>
      </c>
      <c r="I2" s="10" t="s">
        <v>436</v>
      </c>
      <c r="J2" s="9" t="s">
        <v>436</v>
      </c>
      <c r="K2" s="10" t="s">
        <v>436</v>
      </c>
      <c r="L2" s="9" t="s">
        <v>436</v>
      </c>
      <c r="M2" s="10" t="s">
        <v>436</v>
      </c>
      <c r="N2" s="9" t="s">
        <v>436</v>
      </c>
      <c r="O2" s="10" t="s">
        <v>436</v>
      </c>
      <c r="P2" s="9" t="s">
        <v>436</v>
      </c>
      <c r="Q2" s="10" t="s">
        <v>436</v>
      </c>
      <c r="R2" s="9" t="s">
        <v>436</v>
      </c>
      <c r="S2" s="10"/>
      <c r="T2" s="9"/>
      <c r="U2" s="10"/>
      <c r="V2" s="9"/>
      <c r="W2" s="10"/>
      <c r="X2" s="9"/>
      <c r="Y2" s="57"/>
    </row>
    <row r="3" spans="1:25" ht="18.75" customHeight="1" x14ac:dyDescent="0.25">
      <c r="B3" s="536"/>
      <c r="C3" s="541"/>
      <c r="D3" s="11" t="s">
        <v>59</v>
      </c>
      <c r="E3" s="13" t="s">
        <v>437</v>
      </c>
      <c r="F3" s="12" t="s">
        <v>437</v>
      </c>
      <c r="G3" s="13" t="s">
        <v>437</v>
      </c>
      <c r="H3" s="12" t="s">
        <v>437</v>
      </c>
      <c r="I3" s="13" t="s">
        <v>437</v>
      </c>
      <c r="J3" s="12" t="s">
        <v>437</v>
      </c>
      <c r="K3" s="13" t="s">
        <v>437</v>
      </c>
      <c r="L3" s="12" t="s">
        <v>437</v>
      </c>
      <c r="M3" s="13" t="s">
        <v>437</v>
      </c>
      <c r="N3" s="12" t="s">
        <v>437</v>
      </c>
      <c r="O3" s="13" t="s">
        <v>437</v>
      </c>
      <c r="P3" s="12" t="s">
        <v>437</v>
      </c>
      <c r="Q3" s="13" t="s">
        <v>437</v>
      </c>
      <c r="R3" s="12" t="s">
        <v>437</v>
      </c>
      <c r="S3" s="13"/>
      <c r="T3" s="12"/>
      <c r="U3" s="13"/>
      <c r="V3" s="12"/>
      <c r="W3" s="13"/>
      <c r="X3" s="12"/>
      <c r="Y3" s="57"/>
    </row>
    <row r="4" spans="1:25" ht="18.75" customHeight="1" x14ac:dyDescent="0.25">
      <c r="B4" s="536"/>
      <c r="C4" s="541"/>
      <c r="D4" s="11" t="s">
        <v>60</v>
      </c>
      <c r="E4" s="13" t="s">
        <v>438</v>
      </c>
      <c r="F4" s="12" t="s">
        <v>438</v>
      </c>
      <c r="G4" s="13" t="s">
        <v>438</v>
      </c>
      <c r="H4" s="12" t="s">
        <v>438</v>
      </c>
      <c r="I4" s="13" t="s">
        <v>438</v>
      </c>
      <c r="J4" s="12" t="s">
        <v>438</v>
      </c>
      <c r="K4" s="13" t="s">
        <v>438</v>
      </c>
      <c r="L4" s="12" t="s">
        <v>438</v>
      </c>
      <c r="M4" s="13" t="s">
        <v>438</v>
      </c>
      <c r="N4" s="12" t="s">
        <v>438</v>
      </c>
      <c r="O4" s="13" t="s">
        <v>438</v>
      </c>
      <c r="P4" s="12" t="s">
        <v>438</v>
      </c>
      <c r="Q4" s="13" t="s">
        <v>438</v>
      </c>
      <c r="R4" s="12" t="s">
        <v>438</v>
      </c>
      <c r="S4" s="13"/>
      <c r="T4" s="12"/>
      <c r="U4" s="13"/>
      <c r="V4" s="12"/>
      <c r="W4" s="13"/>
      <c r="X4" s="12"/>
      <c r="Y4" s="58"/>
    </row>
    <row r="5" spans="1:25" ht="18.75" customHeight="1" x14ac:dyDescent="0.25">
      <c r="B5" s="536"/>
      <c r="C5" s="541"/>
      <c r="D5" s="11" t="s">
        <v>33</v>
      </c>
      <c r="E5" s="13" t="s">
        <v>439</v>
      </c>
      <c r="F5" s="12" t="s">
        <v>439</v>
      </c>
      <c r="G5" s="13" t="s">
        <v>439</v>
      </c>
      <c r="H5" s="12" t="s">
        <v>440</v>
      </c>
      <c r="I5" s="13" t="s">
        <v>441</v>
      </c>
      <c r="J5" s="12" t="s">
        <v>441</v>
      </c>
      <c r="K5" s="13" t="s">
        <v>442</v>
      </c>
      <c r="L5" s="12" t="s">
        <v>442</v>
      </c>
      <c r="M5" s="13" t="s">
        <v>439</v>
      </c>
      <c r="N5" s="12" t="s">
        <v>544</v>
      </c>
      <c r="O5" s="13" t="s">
        <v>439</v>
      </c>
      <c r="P5" s="12" t="s">
        <v>439</v>
      </c>
      <c r="Q5" s="13" t="s">
        <v>442</v>
      </c>
      <c r="R5" s="12" t="s">
        <v>538</v>
      </c>
      <c r="S5" s="13"/>
      <c r="T5" s="12"/>
      <c r="U5" s="13"/>
      <c r="V5" s="12"/>
      <c r="W5" s="13"/>
      <c r="X5" s="12"/>
      <c r="Y5" s="58"/>
    </row>
    <row r="6" spans="1:25" ht="18" customHeight="1" x14ac:dyDescent="0.25">
      <c r="B6" s="536"/>
      <c r="C6" s="541"/>
      <c r="D6" s="17" t="s">
        <v>9</v>
      </c>
      <c r="E6" s="13" t="s">
        <v>443</v>
      </c>
      <c r="F6" s="12" t="s">
        <v>444</v>
      </c>
      <c r="G6" s="13" t="s">
        <v>445</v>
      </c>
      <c r="H6" s="12" t="s">
        <v>446</v>
      </c>
      <c r="I6" s="13" t="s">
        <v>447</v>
      </c>
      <c r="J6" s="12" t="s">
        <v>448</v>
      </c>
      <c r="K6" s="13" t="s">
        <v>449</v>
      </c>
      <c r="L6" s="12" t="s">
        <v>450</v>
      </c>
      <c r="M6" s="13" t="s">
        <v>451</v>
      </c>
      <c r="N6" s="12" t="s">
        <v>452</v>
      </c>
      <c r="O6" s="13" t="s">
        <v>453</v>
      </c>
      <c r="P6" s="12" t="s">
        <v>454</v>
      </c>
      <c r="Q6" s="13" t="s">
        <v>455</v>
      </c>
      <c r="R6" s="12" t="s">
        <v>539</v>
      </c>
      <c r="S6" s="13"/>
      <c r="T6" s="12"/>
      <c r="U6" s="13"/>
      <c r="V6" s="12"/>
      <c r="W6" s="13"/>
      <c r="X6" s="12"/>
      <c r="Y6" s="61"/>
    </row>
    <row r="7" spans="1:25" ht="21" customHeight="1" x14ac:dyDescent="0.25">
      <c r="A7" s="7">
        <v>0</v>
      </c>
      <c r="B7" s="536"/>
      <c r="C7" s="541"/>
      <c r="D7" s="17" t="s">
        <v>22</v>
      </c>
      <c r="E7" s="13">
        <v>1</v>
      </c>
      <c r="F7" s="13">
        <f>E7+1</f>
        <v>2</v>
      </c>
      <c r="G7" s="13">
        <f t="shared" ref="G7" si="0">F7+1</f>
        <v>3</v>
      </c>
      <c r="H7" s="13">
        <f t="shared" ref="H7" si="1">G7+1</f>
        <v>4</v>
      </c>
      <c r="I7" s="13">
        <f t="shared" ref="I7" si="2">H7+1</f>
        <v>5</v>
      </c>
      <c r="J7" s="13">
        <f t="shared" ref="J7" si="3">I7+1</f>
        <v>6</v>
      </c>
      <c r="K7" s="13">
        <f t="shared" ref="K7" si="4">J7+1</f>
        <v>7</v>
      </c>
      <c r="L7" s="13">
        <f t="shared" ref="L7" si="5">K7+1</f>
        <v>8</v>
      </c>
      <c r="M7" s="13">
        <f t="shared" ref="M7" si="6">L7+1</f>
        <v>9</v>
      </c>
      <c r="N7" s="13">
        <f t="shared" ref="N7" si="7">M7+1</f>
        <v>10</v>
      </c>
      <c r="O7" s="13">
        <f t="shared" ref="O7" si="8">N7+1</f>
        <v>11</v>
      </c>
      <c r="P7" s="13">
        <f t="shared" ref="P7" si="9">O7+1</f>
        <v>12</v>
      </c>
      <c r="Q7" s="13">
        <f t="shared" ref="Q7" si="10">P7+1</f>
        <v>13</v>
      </c>
      <c r="R7" s="13">
        <f t="shared" ref="R7" si="11">Q7+1</f>
        <v>14</v>
      </c>
      <c r="S7" s="13">
        <f t="shared" ref="S7" si="12">R7+1</f>
        <v>15</v>
      </c>
      <c r="T7" s="13">
        <f t="shared" ref="T7" si="13">S7+1</f>
        <v>16</v>
      </c>
      <c r="U7" s="13">
        <f t="shared" ref="U7" si="14">T7+1</f>
        <v>17</v>
      </c>
      <c r="V7" s="13">
        <f t="shared" ref="V7" si="15">U7+1</f>
        <v>18</v>
      </c>
      <c r="W7" s="13">
        <f t="shared" ref="W7" si="16">V7+1</f>
        <v>19</v>
      </c>
      <c r="X7" s="13">
        <f t="shared" ref="X7" si="17">W7+1</f>
        <v>20</v>
      </c>
      <c r="Y7" s="62"/>
    </row>
    <row r="8" spans="1:25" ht="21" customHeight="1" thickBot="1" x14ac:dyDescent="0.3">
      <c r="B8" s="536"/>
      <c r="C8" s="541"/>
      <c r="D8" s="244" t="s">
        <v>290</v>
      </c>
      <c r="E8" s="13" t="s">
        <v>468</v>
      </c>
      <c r="F8" s="13" t="s">
        <v>468</v>
      </c>
      <c r="G8" s="13" t="s">
        <v>468</v>
      </c>
      <c r="H8" s="13" t="s">
        <v>468</v>
      </c>
      <c r="I8" s="13" t="s">
        <v>468</v>
      </c>
      <c r="J8" s="13" t="s">
        <v>468</v>
      </c>
      <c r="K8" s="13" t="s">
        <v>468</v>
      </c>
      <c r="L8" s="13" t="s">
        <v>468</v>
      </c>
      <c r="M8" s="13" t="s">
        <v>468</v>
      </c>
      <c r="N8" s="13" t="s">
        <v>468</v>
      </c>
      <c r="O8" s="13" t="s">
        <v>468</v>
      </c>
      <c r="P8" s="13" t="s">
        <v>468</v>
      </c>
      <c r="Q8" s="13" t="s">
        <v>468</v>
      </c>
      <c r="R8" s="13" t="s">
        <v>468</v>
      </c>
      <c r="S8" s="13"/>
      <c r="T8" s="13"/>
      <c r="U8" s="13"/>
      <c r="V8" s="13"/>
      <c r="W8" s="13"/>
      <c r="X8" s="13"/>
      <c r="Y8" s="62"/>
    </row>
    <row r="9" spans="1:25" ht="18.75" customHeight="1" x14ac:dyDescent="0.25">
      <c r="B9" s="536"/>
      <c r="C9" s="541"/>
      <c r="D9" s="238" t="s">
        <v>51</v>
      </c>
      <c r="E9" s="255" t="s">
        <v>456</v>
      </c>
      <c r="F9" s="281" t="s">
        <v>456</v>
      </c>
      <c r="G9" s="255" t="s">
        <v>456</v>
      </c>
      <c r="H9" s="281" t="s">
        <v>456</v>
      </c>
      <c r="I9" s="255" t="s">
        <v>456</v>
      </c>
      <c r="J9" s="281" t="s">
        <v>456</v>
      </c>
      <c r="K9" s="255" t="s">
        <v>456</v>
      </c>
      <c r="L9" s="281" t="s">
        <v>456</v>
      </c>
      <c r="M9" s="255" t="s">
        <v>456</v>
      </c>
      <c r="N9" s="281" t="s">
        <v>456</v>
      </c>
      <c r="O9" s="255" t="s">
        <v>456</v>
      </c>
      <c r="P9" s="281" t="s">
        <v>456</v>
      </c>
      <c r="Q9" s="255" t="s">
        <v>456</v>
      </c>
      <c r="R9" s="281" t="s">
        <v>456</v>
      </c>
      <c r="S9" s="255"/>
      <c r="T9" s="281"/>
      <c r="U9" s="255"/>
      <c r="V9" s="281"/>
      <c r="W9" s="255"/>
      <c r="X9" s="281"/>
      <c r="Y9" s="59"/>
    </row>
    <row r="10" spans="1:25" ht="18.75" customHeight="1" x14ac:dyDescent="0.25">
      <c r="B10" s="536"/>
      <c r="C10" s="541"/>
      <c r="D10" s="14" t="s">
        <v>52</v>
      </c>
      <c r="E10" s="16" t="s">
        <v>457</v>
      </c>
      <c r="F10" s="15" t="s">
        <v>457</v>
      </c>
      <c r="G10" s="16" t="s">
        <v>457</v>
      </c>
      <c r="H10" s="15" t="s">
        <v>457</v>
      </c>
      <c r="I10" s="16" t="s">
        <v>457</v>
      </c>
      <c r="J10" s="15" t="s">
        <v>457</v>
      </c>
      <c r="K10" s="16" t="s">
        <v>457</v>
      </c>
      <c r="L10" s="15" t="s">
        <v>457</v>
      </c>
      <c r="M10" s="16" t="s">
        <v>457</v>
      </c>
      <c r="N10" s="15" t="s">
        <v>457</v>
      </c>
      <c r="O10" s="16" t="s">
        <v>457</v>
      </c>
      <c r="P10" s="15" t="s">
        <v>457</v>
      </c>
      <c r="Q10" s="16" t="s">
        <v>457</v>
      </c>
      <c r="R10" s="15" t="s">
        <v>457</v>
      </c>
      <c r="S10" s="16"/>
      <c r="T10" s="15"/>
      <c r="U10" s="16"/>
      <c r="V10" s="15"/>
      <c r="W10" s="16"/>
      <c r="X10" s="15"/>
      <c r="Y10" s="59"/>
    </row>
    <row r="11" spans="1:25" ht="18.75" customHeight="1" x14ac:dyDescent="0.25">
      <c r="B11" s="536"/>
      <c r="C11" s="541"/>
      <c r="D11" s="14" t="s">
        <v>219</v>
      </c>
      <c r="E11" s="402" t="s">
        <v>458</v>
      </c>
      <c r="F11" s="403" t="s">
        <v>458</v>
      </c>
      <c r="G11" s="402" t="s">
        <v>458</v>
      </c>
      <c r="H11" s="403" t="s">
        <v>458</v>
      </c>
      <c r="I11" s="402" t="s">
        <v>458</v>
      </c>
      <c r="J11" s="403" t="s">
        <v>458</v>
      </c>
      <c r="K11" s="402" t="s">
        <v>458</v>
      </c>
      <c r="L11" s="403" t="s">
        <v>458</v>
      </c>
      <c r="M11" s="402" t="s">
        <v>458</v>
      </c>
      <c r="N11" s="403" t="s">
        <v>458</v>
      </c>
      <c r="O11" s="402" t="s">
        <v>458</v>
      </c>
      <c r="P11" s="403" t="s">
        <v>458</v>
      </c>
      <c r="Q11" s="402" t="s">
        <v>458</v>
      </c>
      <c r="R11" s="403" t="s">
        <v>458</v>
      </c>
      <c r="S11" s="16"/>
      <c r="T11" s="15"/>
      <c r="U11" s="16"/>
      <c r="V11" s="15"/>
      <c r="W11" s="16"/>
      <c r="X11" s="15"/>
      <c r="Y11" s="59"/>
    </row>
    <row r="12" spans="1:25" s="400" customFormat="1" ht="18.75" customHeight="1" x14ac:dyDescent="0.25">
      <c r="B12" s="536"/>
      <c r="C12" s="541"/>
      <c r="D12" s="401" t="s">
        <v>421</v>
      </c>
      <c r="E12" s="402">
        <v>9188732609</v>
      </c>
      <c r="F12" s="403">
        <v>9188732609</v>
      </c>
      <c r="G12" s="402">
        <v>9188732609</v>
      </c>
      <c r="H12" s="403">
        <v>9188732609</v>
      </c>
      <c r="I12" s="402">
        <v>9188732609</v>
      </c>
      <c r="J12" s="403">
        <v>9188732609</v>
      </c>
      <c r="K12" s="402">
        <v>9188732609</v>
      </c>
      <c r="L12" s="403">
        <v>9188732609</v>
      </c>
      <c r="M12" s="402">
        <v>9188732609</v>
      </c>
      <c r="N12" s="403">
        <v>9188732609</v>
      </c>
      <c r="O12" s="402">
        <v>9188732609</v>
      </c>
      <c r="P12" s="403">
        <v>9188732609</v>
      </c>
      <c r="Q12" s="402">
        <v>9188732609</v>
      </c>
      <c r="R12" s="403">
        <v>9188732609</v>
      </c>
      <c r="S12" s="402"/>
      <c r="T12" s="403"/>
      <c r="U12" s="402"/>
      <c r="V12" s="403"/>
      <c r="W12" s="402"/>
      <c r="X12" s="403"/>
      <c r="Y12" s="404"/>
    </row>
    <row r="13" spans="1:25" ht="18" customHeight="1" x14ac:dyDescent="0.25">
      <c r="B13" s="536"/>
      <c r="C13" s="541"/>
      <c r="D13" s="14" t="s">
        <v>10</v>
      </c>
      <c r="E13" s="16" t="s">
        <v>543</v>
      </c>
      <c r="F13" s="15" t="s">
        <v>543</v>
      </c>
      <c r="G13" s="16" t="s">
        <v>459</v>
      </c>
      <c r="H13" s="15" t="s">
        <v>459</v>
      </c>
      <c r="I13" s="16" t="s">
        <v>543</v>
      </c>
      <c r="J13" s="15" t="s">
        <v>543</v>
      </c>
      <c r="K13" s="16" t="s">
        <v>543</v>
      </c>
      <c r="L13" s="15" t="s">
        <v>543</v>
      </c>
      <c r="M13" s="16" t="s">
        <v>543</v>
      </c>
      <c r="N13" s="15" t="s">
        <v>543</v>
      </c>
      <c r="O13" s="16" t="s">
        <v>543</v>
      </c>
      <c r="P13" s="15" t="s">
        <v>543</v>
      </c>
      <c r="Q13" s="16" t="s">
        <v>543</v>
      </c>
      <c r="R13" s="15" t="s">
        <v>543</v>
      </c>
      <c r="S13" s="16"/>
      <c r="T13" s="15"/>
      <c r="U13" s="16"/>
      <c r="V13" s="15"/>
      <c r="W13" s="16"/>
      <c r="X13" s="15"/>
      <c r="Y13" s="59"/>
    </row>
    <row r="14" spans="1:25" s="56" customFormat="1" ht="18" customHeight="1" x14ac:dyDescent="0.25">
      <c r="B14" s="536"/>
      <c r="C14" s="541"/>
      <c r="D14" s="53" t="s">
        <v>62</v>
      </c>
      <c r="E14" s="55">
        <v>9395199953</v>
      </c>
      <c r="F14" s="54">
        <v>9186653066</v>
      </c>
      <c r="G14" s="55">
        <v>9185210345</v>
      </c>
      <c r="H14" s="54">
        <v>9185210345</v>
      </c>
      <c r="I14" s="55">
        <v>9186653066</v>
      </c>
      <c r="J14" s="54">
        <v>9395199953</v>
      </c>
      <c r="K14" s="55">
        <v>9395199953</v>
      </c>
      <c r="L14" s="54">
        <v>9395199953</v>
      </c>
      <c r="M14" s="55">
        <v>9395199953</v>
      </c>
      <c r="N14" s="54">
        <v>9395199953</v>
      </c>
      <c r="O14" s="55">
        <v>9395199953</v>
      </c>
      <c r="P14" s="54">
        <v>9395199953</v>
      </c>
      <c r="Q14" s="55">
        <v>9395199953</v>
      </c>
      <c r="R14" s="54"/>
      <c r="S14" s="55"/>
      <c r="T14" s="54"/>
      <c r="U14" s="55"/>
      <c r="V14" s="54"/>
      <c r="W14" s="55"/>
      <c r="X14" s="54"/>
      <c r="Y14" s="60"/>
    </row>
    <row r="15" spans="1:25" s="56" customFormat="1" ht="18" customHeight="1" x14ac:dyDescent="0.25">
      <c r="B15" s="536"/>
      <c r="C15" s="541"/>
      <c r="D15" s="53" t="s">
        <v>221</v>
      </c>
      <c r="E15" s="55" t="s">
        <v>460</v>
      </c>
      <c r="F15" s="54" t="s">
        <v>461</v>
      </c>
      <c r="G15" s="55" t="s">
        <v>461</v>
      </c>
      <c r="H15" s="54"/>
      <c r="I15" s="55" t="s">
        <v>462</v>
      </c>
      <c r="J15" s="54" t="s">
        <v>462</v>
      </c>
      <c r="K15" s="55" t="s">
        <v>463</v>
      </c>
      <c r="L15" s="54" t="s">
        <v>463</v>
      </c>
      <c r="M15" s="55" t="s">
        <v>461</v>
      </c>
      <c r="N15" s="54" t="s">
        <v>464</v>
      </c>
      <c r="O15" s="55" t="s">
        <v>465</v>
      </c>
      <c r="P15" s="54" t="s">
        <v>466</v>
      </c>
      <c r="Q15" s="55" t="s">
        <v>467</v>
      </c>
      <c r="R15" s="54"/>
      <c r="S15" s="55"/>
      <c r="T15" s="54"/>
      <c r="U15" s="55"/>
      <c r="V15" s="54"/>
      <c r="W15" s="55"/>
      <c r="X15" s="54"/>
      <c r="Y15" s="60"/>
    </row>
    <row r="16" spans="1:25" s="56" customFormat="1" ht="18" customHeight="1" x14ac:dyDescent="0.25">
      <c r="B16" s="536"/>
      <c r="C16" s="541"/>
      <c r="D16" s="53" t="s">
        <v>107</v>
      </c>
      <c r="E16" s="55">
        <v>5</v>
      </c>
      <c r="F16" s="54">
        <v>11</v>
      </c>
      <c r="G16" s="55">
        <v>11</v>
      </c>
      <c r="H16" s="54">
        <v>1</v>
      </c>
      <c r="I16" s="55">
        <v>12</v>
      </c>
      <c r="J16" s="54">
        <v>12</v>
      </c>
      <c r="K16" s="55">
        <v>12</v>
      </c>
      <c r="L16" s="54">
        <v>12</v>
      </c>
      <c r="M16" s="55">
        <v>11</v>
      </c>
      <c r="N16" s="54">
        <v>3</v>
      </c>
      <c r="O16" s="55">
        <v>2</v>
      </c>
      <c r="P16" s="54">
        <v>1</v>
      </c>
      <c r="Q16" s="55">
        <v>0</v>
      </c>
      <c r="R16" s="54"/>
      <c r="S16" s="55"/>
      <c r="T16" s="54"/>
      <c r="U16" s="55"/>
      <c r="V16" s="54"/>
      <c r="W16" s="55"/>
      <c r="X16" s="54"/>
      <c r="Y16" s="60"/>
    </row>
    <row r="17" spans="2:25" s="56" customFormat="1" ht="18" customHeight="1" x14ac:dyDescent="0.25">
      <c r="B17" s="536"/>
      <c r="C17" s="541"/>
      <c r="D17" s="53" t="s">
        <v>32</v>
      </c>
      <c r="E17" s="55">
        <v>776189617</v>
      </c>
      <c r="F17" s="54">
        <v>784970930</v>
      </c>
      <c r="G17" s="55" t="s">
        <v>469</v>
      </c>
      <c r="H17" s="54">
        <v>766526260</v>
      </c>
      <c r="I17" s="55">
        <v>750099196</v>
      </c>
      <c r="J17" s="54" t="s">
        <v>470</v>
      </c>
      <c r="K17" s="55">
        <v>755556128</v>
      </c>
      <c r="L17" s="54">
        <v>755553150</v>
      </c>
      <c r="M17" s="55">
        <v>756748570</v>
      </c>
      <c r="N17" s="54">
        <v>784872173</v>
      </c>
      <c r="O17" s="55">
        <v>787399393</v>
      </c>
      <c r="P17" s="54">
        <v>790676306</v>
      </c>
      <c r="Q17" s="55"/>
      <c r="R17" s="54">
        <v>751020192</v>
      </c>
      <c r="S17" s="55"/>
      <c r="T17" s="54"/>
      <c r="U17" s="55"/>
      <c r="V17" s="54"/>
      <c r="W17" s="55"/>
      <c r="X17" s="54"/>
      <c r="Y17" s="60"/>
    </row>
    <row r="18" spans="2:25" ht="18" customHeight="1" x14ac:dyDescent="0.25">
      <c r="B18" s="536"/>
      <c r="C18" s="541"/>
      <c r="D18" s="14" t="s">
        <v>21</v>
      </c>
      <c r="E18" s="16" t="s">
        <v>471</v>
      </c>
      <c r="F18" s="15" t="s">
        <v>472</v>
      </c>
      <c r="G18" s="16" t="s">
        <v>472</v>
      </c>
      <c r="H18" s="15" t="s">
        <v>471</v>
      </c>
      <c r="I18" s="16" t="s">
        <v>473</v>
      </c>
      <c r="J18" s="15" t="s">
        <v>474</v>
      </c>
      <c r="K18" s="16" t="s">
        <v>472</v>
      </c>
      <c r="L18" s="15" t="s">
        <v>472</v>
      </c>
      <c r="M18" s="16" t="s">
        <v>472</v>
      </c>
      <c r="N18" s="15" t="s">
        <v>475</v>
      </c>
      <c r="O18" s="16" t="s">
        <v>476</v>
      </c>
      <c r="P18" s="15" t="s">
        <v>475</v>
      </c>
      <c r="Q18" s="16" t="s">
        <v>477</v>
      </c>
      <c r="R18" s="15" t="s">
        <v>477</v>
      </c>
      <c r="S18" s="16"/>
      <c r="T18" s="15"/>
      <c r="U18" s="16"/>
      <c r="V18" s="15"/>
      <c r="W18" s="16"/>
      <c r="X18" s="15"/>
      <c r="Y18" s="59"/>
    </row>
    <row r="19" spans="2:25" s="74" customFormat="1" ht="18" customHeight="1" x14ac:dyDescent="0.25">
      <c r="B19" s="536"/>
      <c r="C19" s="541"/>
      <c r="D19" s="75" t="s">
        <v>53</v>
      </c>
      <c r="E19" s="245" t="s">
        <v>478</v>
      </c>
      <c r="F19" s="282" t="s">
        <v>479</v>
      </c>
      <c r="G19" s="245" t="s">
        <v>480</v>
      </c>
      <c r="H19" s="76" t="s">
        <v>481</v>
      </c>
      <c r="I19" s="245" t="s">
        <v>482</v>
      </c>
      <c r="J19" s="323" t="s">
        <v>483</v>
      </c>
      <c r="K19" s="77" t="s">
        <v>484</v>
      </c>
      <c r="L19" s="323" t="s">
        <v>485</v>
      </c>
      <c r="M19" s="77" t="s">
        <v>486</v>
      </c>
      <c r="N19" s="323" t="s">
        <v>487</v>
      </c>
      <c r="O19" s="77" t="s">
        <v>488</v>
      </c>
      <c r="P19" s="323" t="s">
        <v>489</v>
      </c>
      <c r="Q19" s="77" t="s">
        <v>490</v>
      </c>
      <c r="R19" s="323" t="s">
        <v>540</v>
      </c>
      <c r="S19" s="77"/>
      <c r="T19" s="323"/>
      <c r="U19" s="77"/>
      <c r="V19" s="323"/>
      <c r="W19" s="77"/>
      <c r="X19" s="323"/>
      <c r="Y19" s="78"/>
    </row>
    <row r="20" spans="2:25" s="74" customFormat="1" ht="18" customHeight="1" x14ac:dyDescent="0.25">
      <c r="B20" s="536"/>
      <c r="C20" s="541"/>
      <c r="D20" s="75" t="s">
        <v>54</v>
      </c>
      <c r="E20" s="245" t="s">
        <v>491</v>
      </c>
      <c r="F20" s="282" t="s">
        <v>492</v>
      </c>
      <c r="G20" s="245" t="s">
        <v>493</v>
      </c>
      <c r="H20" s="76" t="s">
        <v>494</v>
      </c>
      <c r="I20" s="245" t="s">
        <v>495</v>
      </c>
      <c r="J20" s="323" t="s">
        <v>496</v>
      </c>
      <c r="K20" s="77" t="s">
        <v>497</v>
      </c>
      <c r="L20" s="323" t="s">
        <v>498</v>
      </c>
      <c r="M20" s="77" t="s">
        <v>499</v>
      </c>
      <c r="N20" s="323" t="s">
        <v>500</v>
      </c>
      <c r="O20" s="77" t="s">
        <v>501</v>
      </c>
      <c r="P20" s="323" t="s">
        <v>502</v>
      </c>
      <c r="Q20" s="77" t="s">
        <v>503</v>
      </c>
      <c r="R20" s="323" t="s">
        <v>541</v>
      </c>
      <c r="S20" s="77"/>
      <c r="T20" s="323"/>
      <c r="U20" s="77"/>
      <c r="V20" s="323"/>
      <c r="W20" s="77"/>
      <c r="X20" s="323"/>
      <c r="Y20" s="78"/>
    </row>
    <row r="21" spans="2:25" s="74" customFormat="1" ht="18" customHeight="1" thickBot="1" x14ac:dyDescent="0.3">
      <c r="B21" s="536"/>
      <c r="C21" s="541"/>
      <c r="D21" s="239" t="s">
        <v>55</v>
      </c>
      <c r="E21" s="256" t="s">
        <v>504</v>
      </c>
      <c r="F21" s="283" t="s">
        <v>505</v>
      </c>
      <c r="G21" s="256" t="s">
        <v>506</v>
      </c>
      <c r="H21" s="318" t="s">
        <v>507</v>
      </c>
      <c r="I21" s="256" t="s">
        <v>508</v>
      </c>
      <c r="J21" s="324" t="s">
        <v>509</v>
      </c>
      <c r="K21" s="325" t="s">
        <v>510</v>
      </c>
      <c r="L21" s="324" t="s">
        <v>511</v>
      </c>
      <c r="M21" s="325" t="s">
        <v>512</v>
      </c>
      <c r="N21" s="324" t="s">
        <v>513</v>
      </c>
      <c r="O21" s="325" t="s">
        <v>514</v>
      </c>
      <c r="P21" s="324" t="s">
        <v>515</v>
      </c>
      <c r="Q21" s="325" t="s">
        <v>516</v>
      </c>
      <c r="R21" s="324" t="s">
        <v>542</v>
      </c>
      <c r="S21" s="325"/>
      <c r="T21" s="324"/>
      <c r="U21" s="325"/>
      <c r="V21" s="324"/>
      <c r="W21" s="325"/>
      <c r="X21" s="324"/>
      <c r="Y21" s="78"/>
    </row>
    <row r="22" spans="2:25" ht="18.75" customHeight="1" x14ac:dyDescent="0.25">
      <c r="B22" s="534" t="s">
        <v>11</v>
      </c>
      <c r="C22" s="540"/>
      <c r="D22" s="79" t="s">
        <v>0</v>
      </c>
      <c r="E22" s="18">
        <v>16</v>
      </c>
      <c r="F22" s="284">
        <v>16</v>
      </c>
      <c r="G22" s="18">
        <v>18</v>
      </c>
      <c r="H22" s="284">
        <v>22</v>
      </c>
      <c r="I22" s="18">
        <v>15</v>
      </c>
      <c r="J22" s="284">
        <v>16</v>
      </c>
      <c r="K22" s="18">
        <v>17</v>
      </c>
      <c r="L22" s="284">
        <v>17</v>
      </c>
      <c r="M22" s="18">
        <v>17</v>
      </c>
      <c r="N22" s="284">
        <v>18</v>
      </c>
      <c r="O22" s="18">
        <v>18</v>
      </c>
      <c r="P22" s="284">
        <v>12</v>
      </c>
      <c r="Q22" s="18">
        <v>13</v>
      </c>
      <c r="R22" s="284">
        <v>16</v>
      </c>
      <c r="S22" s="18"/>
      <c r="T22" s="284"/>
      <c r="U22" s="18"/>
      <c r="V22" s="284"/>
      <c r="W22" s="18"/>
      <c r="X22" s="284"/>
      <c r="Y22" s="63"/>
    </row>
    <row r="23" spans="2:25" ht="18.75" customHeight="1" x14ac:dyDescent="0.25">
      <c r="B23" s="536"/>
      <c r="C23" s="541"/>
      <c r="D23" s="19" t="s">
        <v>1</v>
      </c>
      <c r="E23" s="20">
        <v>16</v>
      </c>
      <c r="F23" s="21">
        <v>16</v>
      </c>
      <c r="G23" s="20">
        <v>18</v>
      </c>
      <c r="H23" s="21">
        <v>22</v>
      </c>
      <c r="I23" s="20">
        <v>15</v>
      </c>
      <c r="J23" s="21">
        <v>16</v>
      </c>
      <c r="K23" s="20">
        <v>17</v>
      </c>
      <c r="L23" s="21">
        <v>17</v>
      </c>
      <c r="M23" s="20">
        <v>17</v>
      </c>
      <c r="N23" s="21">
        <v>18</v>
      </c>
      <c r="O23" s="20">
        <v>18</v>
      </c>
      <c r="P23" s="21">
        <v>12</v>
      </c>
      <c r="Q23" s="20">
        <v>13</v>
      </c>
      <c r="R23" s="21">
        <v>16</v>
      </c>
      <c r="S23" s="20"/>
      <c r="T23" s="21"/>
      <c r="U23" s="20"/>
      <c r="V23" s="21"/>
      <c r="W23" s="20"/>
      <c r="X23" s="21"/>
      <c r="Y23" s="63"/>
    </row>
    <row r="24" spans="2:25" ht="18.75" customHeight="1" x14ac:dyDescent="0.25">
      <c r="B24" s="536"/>
      <c r="C24" s="541"/>
      <c r="D24" s="19" t="s">
        <v>2</v>
      </c>
      <c r="E24" s="22">
        <f t="shared" ref="E24:O24" si="18">E22-E23</f>
        <v>0</v>
      </c>
      <c r="F24" s="285">
        <f t="shared" si="18"/>
        <v>0</v>
      </c>
      <c r="G24" s="22">
        <f t="shared" si="18"/>
        <v>0</v>
      </c>
      <c r="H24" s="285">
        <f t="shared" si="18"/>
        <v>0</v>
      </c>
      <c r="I24" s="22">
        <f t="shared" si="18"/>
        <v>0</v>
      </c>
      <c r="J24" s="285">
        <f t="shared" si="18"/>
        <v>0</v>
      </c>
      <c r="K24" s="22">
        <f t="shared" si="18"/>
        <v>0</v>
      </c>
      <c r="L24" s="285">
        <f t="shared" si="18"/>
        <v>0</v>
      </c>
      <c r="M24" s="22">
        <f t="shared" si="18"/>
        <v>0</v>
      </c>
      <c r="N24" s="285">
        <f t="shared" si="18"/>
        <v>0</v>
      </c>
      <c r="O24" s="22">
        <f t="shared" si="18"/>
        <v>0</v>
      </c>
      <c r="P24" s="285">
        <f>P22-P23</f>
        <v>0</v>
      </c>
      <c r="Q24" s="22">
        <f t="shared" ref="Q24:X24" si="19">Q22-Q23</f>
        <v>0</v>
      </c>
      <c r="R24" s="285">
        <f t="shared" si="19"/>
        <v>0</v>
      </c>
      <c r="S24" s="22">
        <f t="shared" si="19"/>
        <v>0</v>
      </c>
      <c r="T24" s="285">
        <f t="shared" si="19"/>
        <v>0</v>
      </c>
      <c r="U24" s="22">
        <f t="shared" si="19"/>
        <v>0</v>
      </c>
      <c r="V24" s="285">
        <f t="shared" si="19"/>
        <v>0</v>
      </c>
      <c r="W24" s="22">
        <f t="shared" si="19"/>
        <v>0</v>
      </c>
      <c r="X24" s="285">
        <f t="shared" si="19"/>
        <v>0</v>
      </c>
      <c r="Y24" s="64"/>
    </row>
    <row r="25" spans="2:25" ht="18.75" customHeight="1" x14ac:dyDescent="0.25">
      <c r="B25" s="536"/>
      <c r="C25" s="541"/>
      <c r="D25" s="19" t="s">
        <v>109</v>
      </c>
      <c r="E25" s="23">
        <f>(E23/E22)*100</f>
        <v>100</v>
      </c>
      <c r="F25" s="286">
        <f t="shared" ref="F25:L25" si="20">(F23/F22)*100</f>
        <v>100</v>
      </c>
      <c r="G25" s="23">
        <f t="shared" si="20"/>
        <v>100</v>
      </c>
      <c r="H25" s="286">
        <f t="shared" si="20"/>
        <v>100</v>
      </c>
      <c r="I25" s="23">
        <f t="shared" si="20"/>
        <v>100</v>
      </c>
      <c r="J25" s="286">
        <f t="shared" si="20"/>
        <v>100</v>
      </c>
      <c r="K25" s="23">
        <f t="shared" si="20"/>
        <v>100</v>
      </c>
      <c r="L25" s="286">
        <f t="shared" si="20"/>
        <v>100</v>
      </c>
      <c r="M25" s="23">
        <f t="shared" ref="M25:X25" si="21">(M23/M22)*100</f>
        <v>100</v>
      </c>
      <c r="N25" s="286">
        <f>(N23/N22)*100</f>
        <v>100</v>
      </c>
      <c r="O25" s="23">
        <f t="shared" si="21"/>
        <v>100</v>
      </c>
      <c r="P25" s="286">
        <f t="shared" si="21"/>
        <v>100</v>
      </c>
      <c r="Q25" s="23">
        <f t="shared" si="21"/>
        <v>100</v>
      </c>
      <c r="R25" s="286">
        <f t="shared" si="21"/>
        <v>100</v>
      </c>
      <c r="S25" s="23" t="e">
        <f t="shared" si="21"/>
        <v>#DIV/0!</v>
      </c>
      <c r="T25" s="286" t="e">
        <f t="shared" si="21"/>
        <v>#DIV/0!</v>
      </c>
      <c r="U25" s="23" t="e">
        <f t="shared" si="21"/>
        <v>#DIV/0!</v>
      </c>
      <c r="V25" s="286" t="e">
        <f t="shared" si="21"/>
        <v>#DIV/0!</v>
      </c>
      <c r="W25" s="23" t="e">
        <f t="shared" si="21"/>
        <v>#DIV/0!</v>
      </c>
      <c r="X25" s="286" t="e">
        <f t="shared" si="21"/>
        <v>#DIV/0!</v>
      </c>
      <c r="Y25" s="65"/>
    </row>
    <row r="26" spans="2:25" ht="18.75" customHeight="1" x14ac:dyDescent="0.25">
      <c r="B26" s="536"/>
      <c r="C26" s="541"/>
      <c r="D26" s="19" t="s">
        <v>67</v>
      </c>
      <c r="E26" s="20">
        <v>0</v>
      </c>
      <c r="F26" s="21">
        <v>1</v>
      </c>
      <c r="G26" s="20">
        <v>0</v>
      </c>
      <c r="H26" s="21">
        <v>0</v>
      </c>
      <c r="I26" s="20">
        <v>0</v>
      </c>
      <c r="J26" s="21">
        <v>0</v>
      </c>
      <c r="K26" s="20">
        <v>0</v>
      </c>
      <c r="L26" s="21">
        <v>0</v>
      </c>
      <c r="M26" s="20">
        <v>0</v>
      </c>
      <c r="N26" s="21">
        <v>0</v>
      </c>
      <c r="O26" s="20">
        <v>0</v>
      </c>
      <c r="P26" s="21">
        <v>0</v>
      </c>
      <c r="Q26" s="20">
        <v>0</v>
      </c>
      <c r="R26" s="21"/>
      <c r="S26" s="20"/>
      <c r="T26" s="21"/>
      <c r="U26" s="20"/>
      <c r="V26" s="21"/>
      <c r="W26" s="20"/>
      <c r="X26" s="21"/>
      <c r="Y26" s="63"/>
    </row>
    <row r="27" spans="2:25" ht="18.75" customHeight="1" x14ac:dyDescent="0.25">
      <c r="B27" s="536"/>
      <c r="C27" s="541"/>
      <c r="D27" s="19" t="s">
        <v>110</v>
      </c>
      <c r="E27" s="22">
        <f>(E26/E22)*100</f>
        <v>0</v>
      </c>
      <c r="F27" s="285">
        <f t="shared" ref="F27:L27" si="22">(F26/F22)*100</f>
        <v>6.25</v>
      </c>
      <c r="G27" s="22">
        <f t="shared" si="22"/>
        <v>0</v>
      </c>
      <c r="H27" s="285">
        <f t="shared" si="22"/>
        <v>0</v>
      </c>
      <c r="I27" s="22">
        <f t="shared" si="22"/>
        <v>0</v>
      </c>
      <c r="J27" s="285">
        <f t="shared" si="22"/>
        <v>0</v>
      </c>
      <c r="K27" s="22">
        <f t="shared" si="22"/>
        <v>0</v>
      </c>
      <c r="L27" s="285">
        <f t="shared" si="22"/>
        <v>0</v>
      </c>
      <c r="M27" s="22">
        <f t="shared" ref="M27:X27" si="23">(M26/M22)*100</f>
        <v>0</v>
      </c>
      <c r="N27" s="285">
        <f t="shared" si="23"/>
        <v>0</v>
      </c>
      <c r="O27" s="22">
        <f t="shared" si="23"/>
        <v>0</v>
      </c>
      <c r="P27" s="285">
        <f t="shared" si="23"/>
        <v>0</v>
      </c>
      <c r="Q27" s="22">
        <f t="shared" si="23"/>
        <v>0</v>
      </c>
      <c r="R27" s="285">
        <f t="shared" si="23"/>
        <v>0</v>
      </c>
      <c r="S27" s="22" t="e">
        <f t="shared" si="23"/>
        <v>#DIV/0!</v>
      </c>
      <c r="T27" s="285" t="e">
        <f t="shared" si="23"/>
        <v>#DIV/0!</v>
      </c>
      <c r="U27" s="22" t="e">
        <f t="shared" si="23"/>
        <v>#DIV/0!</v>
      </c>
      <c r="V27" s="285" t="e">
        <f t="shared" si="23"/>
        <v>#DIV/0!</v>
      </c>
      <c r="W27" s="22" t="e">
        <f t="shared" si="23"/>
        <v>#DIV/0!</v>
      </c>
      <c r="X27" s="285" t="e">
        <f t="shared" si="23"/>
        <v>#DIV/0!</v>
      </c>
      <c r="Y27" s="64"/>
    </row>
    <row r="28" spans="2:25" ht="18" customHeight="1" x14ac:dyDescent="0.25">
      <c r="B28" s="536"/>
      <c r="C28" s="541"/>
      <c r="D28" s="19" t="s">
        <v>23</v>
      </c>
      <c r="E28" s="20"/>
      <c r="F28" s="21">
        <v>-6</v>
      </c>
      <c r="G28" s="20"/>
      <c r="H28" s="21">
        <v>1</v>
      </c>
      <c r="I28" s="20"/>
      <c r="J28" s="21"/>
      <c r="K28" s="20">
        <v>3</v>
      </c>
      <c r="L28" s="21" t="s">
        <v>517</v>
      </c>
      <c r="M28" s="20"/>
      <c r="N28" s="21" t="s">
        <v>518</v>
      </c>
      <c r="O28" s="20"/>
      <c r="P28" s="21"/>
      <c r="Q28" s="20"/>
      <c r="R28" s="21"/>
      <c r="S28" s="20"/>
      <c r="T28" s="21"/>
      <c r="U28" s="20"/>
      <c r="V28" s="21"/>
      <c r="W28" s="20"/>
      <c r="X28" s="21"/>
      <c r="Y28" s="63"/>
    </row>
    <row r="29" spans="2:25" ht="18" customHeight="1" thickBot="1" x14ac:dyDescent="0.3">
      <c r="B29" s="538"/>
      <c r="C29" s="542"/>
      <c r="D29" s="24" t="s">
        <v>108</v>
      </c>
      <c r="E29" s="25">
        <v>36</v>
      </c>
      <c r="F29" s="26">
        <v>35</v>
      </c>
      <c r="G29" s="25">
        <v>30</v>
      </c>
      <c r="H29" s="26">
        <v>37</v>
      </c>
      <c r="I29" s="25">
        <v>52</v>
      </c>
      <c r="J29" s="26">
        <v>43</v>
      </c>
      <c r="K29" s="25">
        <v>46</v>
      </c>
      <c r="L29" s="26">
        <v>36</v>
      </c>
      <c r="M29" s="25">
        <v>39</v>
      </c>
      <c r="N29" s="26">
        <v>33</v>
      </c>
      <c r="O29" s="25">
        <v>32</v>
      </c>
      <c r="P29" s="26">
        <v>32</v>
      </c>
      <c r="Q29" s="25">
        <v>30</v>
      </c>
      <c r="R29" s="26"/>
      <c r="S29" s="25"/>
      <c r="T29" s="26"/>
      <c r="U29" s="25"/>
      <c r="V29" s="26"/>
      <c r="W29" s="25"/>
      <c r="X29" s="26"/>
      <c r="Y29" s="63"/>
    </row>
    <row r="30" spans="2:25" ht="18" customHeight="1" x14ac:dyDescent="0.25">
      <c r="B30" s="534" t="s">
        <v>4</v>
      </c>
      <c r="C30" s="540"/>
      <c r="D30" s="29" t="s">
        <v>29</v>
      </c>
      <c r="E30" s="30">
        <v>4</v>
      </c>
      <c r="F30" s="31">
        <v>4</v>
      </c>
      <c r="G30" s="30">
        <v>2</v>
      </c>
      <c r="H30" s="31">
        <v>8</v>
      </c>
      <c r="I30" s="30">
        <v>8</v>
      </c>
      <c r="J30" s="31">
        <v>5</v>
      </c>
      <c r="K30" s="30">
        <v>6</v>
      </c>
      <c r="L30" s="31">
        <v>9</v>
      </c>
      <c r="M30" s="30">
        <v>2</v>
      </c>
      <c r="N30" s="31">
        <v>3</v>
      </c>
      <c r="O30" s="30">
        <v>6</v>
      </c>
      <c r="P30" s="31">
        <v>1</v>
      </c>
      <c r="Q30" s="30">
        <v>0</v>
      </c>
      <c r="R30" s="31"/>
      <c r="S30" s="30"/>
      <c r="T30" s="31"/>
      <c r="U30" s="30"/>
      <c r="V30" s="31"/>
      <c r="W30" s="30"/>
      <c r="X30" s="31"/>
      <c r="Y30" s="66"/>
    </row>
    <row r="31" spans="2:25" ht="18" customHeight="1" x14ac:dyDescent="0.25">
      <c r="B31" s="536"/>
      <c r="C31" s="541"/>
      <c r="D31" s="32" t="s">
        <v>31</v>
      </c>
      <c r="E31" s="33">
        <v>12</v>
      </c>
      <c r="F31" s="34">
        <v>10</v>
      </c>
      <c r="G31" s="33">
        <v>13</v>
      </c>
      <c r="H31" s="34">
        <v>9</v>
      </c>
      <c r="I31" s="33">
        <v>5</v>
      </c>
      <c r="J31" s="34">
        <v>4</v>
      </c>
      <c r="K31" s="33">
        <v>8</v>
      </c>
      <c r="L31" s="34">
        <v>6</v>
      </c>
      <c r="M31" s="33">
        <v>6</v>
      </c>
      <c r="N31" s="34">
        <v>7</v>
      </c>
      <c r="O31" s="33">
        <v>9</v>
      </c>
      <c r="P31" s="34">
        <v>11</v>
      </c>
      <c r="Q31" s="33">
        <v>7</v>
      </c>
      <c r="R31" s="34"/>
      <c r="S31" s="33"/>
      <c r="T31" s="34"/>
      <c r="U31" s="33"/>
      <c r="V31" s="34"/>
      <c r="W31" s="33"/>
      <c r="X31" s="34"/>
      <c r="Y31" s="66"/>
    </row>
    <row r="32" spans="2:25" ht="18" customHeight="1" x14ac:dyDescent="0.25">
      <c r="B32" s="536"/>
      <c r="C32" s="541"/>
      <c r="D32" s="32" t="s">
        <v>30</v>
      </c>
      <c r="E32" s="33">
        <v>0</v>
      </c>
      <c r="F32" s="34">
        <v>2</v>
      </c>
      <c r="G32" s="33">
        <v>1</v>
      </c>
      <c r="H32" s="34">
        <v>4</v>
      </c>
      <c r="I32" s="33">
        <v>2</v>
      </c>
      <c r="J32" s="34">
        <v>5</v>
      </c>
      <c r="K32" s="33">
        <v>3</v>
      </c>
      <c r="L32" s="34">
        <v>1</v>
      </c>
      <c r="M32" s="33">
        <v>9</v>
      </c>
      <c r="N32" s="34">
        <v>6</v>
      </c>
      <c r="O32" s="33">
        <v>2</v>
      </c>
      <c r="P32" s="34">
        <v>0</v>
      </c>
      <c r="Q32" s="33">
        <v>5</v>
      </c>
      <c r="R32" s="34"/>
      <c r="S32" s="33"/>
      <c r="T32" s="34"/>
      <c r="U32" s="33"/>
      <c r="V32" s="34"/>
      <c r="W32" s="33"/>
      <c r="X32" s="34"/>
      <c r="Y32" s="66"/>
    </row>
    <row r="33" spans="2:25" ht="18" customHeight="1" x14ac:dyDescent="0.25">
      <c r="B33" s="536"/>
      <c r="C33" s="541"/>
      <c r="D33" s="389" t="s">
        <v>15</v>
      </c>
      <c r="E33" s="390">
        <v>0</v>
      </c>
      <c r="F33" s="391">
        <v>0</v>
      </c>
      <c r="G33" s="390">
        <v>2</v>
      </c>
      <c r="H33" s="391">
        <v>1</v>
      </c>
      <c r="I33" s="390">
        <v>0</v>
      </c>
      <c r="J33" s="391">
        <v>2</v>
      </c>
      <c r="K33" s="390">
        <v>0</v>
      </c>
      <c r="L33" s="391">
        <v>1</v>
      </c>
      <c r="M33" s="390">
        <v>1</v>
      </c>
      <c r="N33" s="391">
        <v>2</v>
      </c>
      <c r="O33" s="390">
        <v>1</v>
      </c>
      <c r="P33" s="391">
        <v>0</v>
      </c>
      <c r="Q33" s="390">
        <v>1</v>
      </c>
      <c r="R33" s="391"/>
      <c r="S33" s="390"/>
      <c r="T33" s="391"/>
      <c r="U33" s="390"/>
      <c r="V33" s="391"/>
      <c r="W33" s="390"/>
      <c r="X33" s="391"/>
      <c r="Y33" s="66"/>
    </row>
    <row r="34" spans="2:25" ht="18" customHeight="1" thickBot="1" x14ac:dyDescent="0.3">
      <c r="B34" s="538"/>
      <c r="C34" s="542"/>
      <c r="D34" s="35" t="s">
        <v>422</v>
      </c>
      <c r="E34" s="36">
        <f>SUM(E30:E33)</f>
        <v>16</v>
      </c>
      <c r="F34" s="36">
        <f t="shared" ref="F34:X34" si="24">SUM(F30:F33)</f>
        <v>16</v>
      </c>
      <c r="G34" s="36">
        <f t="shared" si="24"/>
        <v>18</v>
      </c>
      <c r="H34" s="36">
        <f t="shared" si="24"/>
        <v>22</v>
      </c>
      <c r="I34" s="36">
        <f t="shared" si="24"/>
        <v>15</v>
      </c>
      <c r="J34" s="36">
        <f t="shared" si="24"/>
        <v>16</v>
      </c>
      <c r="K34" s="36">
        <f t="shared" si="24"/>
        <v>17</v>
      </c>
      <c r="L34" s="36">
        <f t="shared" si="24"/>
        <v>17</v>
      </c>
      <c r="M34" s="36">
        <f t="shared" si="24"/>
        <v>18</v>
      </c>
      <c r="N34" s="36">
        <f t="shared" si="24"/>
        <v>18</v>
      </c>
      <c r="O34" s="36">
        <f t="shared" si="24"/>
        <v>18</v>
      </c>
      <c r="P34" s="36">
        <f t="shared" si="24"/>
        <v>12</v>
      </c>
      <c r="Q34" s="36">
        <f t="shared" si="24"/>
        <v>13</v>
      </c>
      <c r="R34" s="36">
        <f t="shared" si="24"/>
        <v>0</v>
      </c>
      <c r="S34" s="36">
        <f t="shared" si="24"/>
        <v>0</v>
      </c>
      <c r="T34" s="36">
        <f t="shared" si="24"/>
        <v>0</v>
      </c>
      <c r="U34" s="36">
        <f t="shared" si="24"/>
        <v>0</v>
      </c>
      <c r="V34" s="36">
        <f t="shared" si="24"/>
        <v>0</v>
      </c>
      <c r="W34" s="36">
        <f t="shared" si="24"/>
        <v>0</v>
      </c>
      <c r="X34" s="36">
        <f t="shared" si="24"/>
        <v>0</v>
      </c>
      <c r="Y34" s="66"/>
    </row>
    <row r="35" spans="2:25" ht="18" customHeight="1" x14ac:dyDescent="0.25">
      <c r="B35" s="534" t="s">
        <v>5</v>
      </c>
      <c r="C35" s="540"/>
      <c r="D35" s="242" t="s">
        <v>28</v>
      </c>
      <c r="E35" s="257" t="s">
        <v>519</v>
      </c>
      <c r="F35" s="287" t="s">
        <v>520</v>
      </c>
      <c r="G35" s="257" t="s">
        <v>520</v>
      </c>
      <c r="H35" s="287" t="s">
        <v>519</v>
      </c>
      <c r="I35" s="257" t="s">
        <v>519</v>
      </c>
      <c r="J35" s="287" t="s">
        <v>520</v>
      </c>
      <c r="K35" s="257" t="s">
        <v>519</v>
      </c>
      <c r="L35" s="287" t="s">
        <v>520</v>
      </c>
      <c r="M35" s="257" t="s">
        <v>519</v>
      </c>
      <c r="N35" s="287" t="s">
        <v>519</v>
      </c>
      <c r="O35" s="257" t="s">
        <v>519</v>
      </c>
      <c r="P35" s="287" t="s">
        <v>519</v>
      </c>
      <c r="Q35" s="257" t="s">
        <v>519</v>
      </c>
      <c r="R35" s="287"/>
      <c r="S35" s="257"/>
      <c r="T35" s="287"/>
      <c r="U35" s="257"/>
      <c r="V35" s="287"/>
      <c r="W35" s="257"/>
      <c r="X35" s="287"/>
      <c r="Y35" s="67"/>
    </row>
    <row r="36" spans="2:25" ht="18" customHeight="1" x14ac:dyDescent="0.25">
      <c r="B36" s="536"/>
      <c r="C36" s="541"/>
      <c r="D36" s="37" t="s">
        <v>27</v>
      </c>
      <c r="E36" s="38" t="s">
        <v>519</v>
      </c>
      <c r="F36" s="39" t="s">
        <v>520</v>
      </c>
      <c r="G36" s="38" t="s">
        <v>520</v>
      </c>
      <c r="H36" s="39" t="s">
        <v>519</v>
      </c>
      <c r="I36" s="38" t="s">
        <v>519</v>
      </c>
      <c r="J36" s="39" t="s">
        <v>519</v>
      </c>
      <c r="K36" s="38" t="s">
        <v>519</v>
      </c>
      <c r="L36" s="39" t="s">
        <v>520</v>
      </c>
      <c r="M36" s="38" t="s">
        <v>519</v>
      </c>
      <c r="N36" s="39" t="s">
        <v>519</v>
      </c>
      <c r="O36" s="38" t="s">
        <v>519</v>
      </c>
      <c r="P36" s="39" t="s">
        <v>519</v>
      </c>
      <c r="Q36" s="38" t="s">
        <v>519</v>
      </c>
      <c r="R36" s="39"/>
      <c r="S36" s="38"/>
      <c r="T36" s="39"/>
      <c r="U36" s="38"/>
      <c r="V36" s="39"/>
      <c r="W36" s="38"/>
      <c r="X36" s="39"/>
      <c r="Y36" s="67"/>
    </row>
    <row r="37" spans="2:25" ht="18" customHeight="1" x14ac:dyDescent="0.25">
      <c r="B37" s="536"/>
      <c r="C37" s="541"/>
      <c r="D37" s="37" t="s">
        <v>70</v>
      </c>
      <c r="E37" s="38" t="s">
        <v>520</v>
      </c>
      <c r="F37" s="39" t="s">
        <v>521</v>
      </c>
      <c r="G37" s="38" t="s">
        <v>521</v>
      </c>
      <c r="H37" s="39" t="s">
        <v>520</v>
      </c>
      <c r="I37" s="38" t="s">
        <v>521</v>
      </c>
      <c r="J37" s="39" t="s">
        <v>521</v>
      </c>
      <c r="K37" s="38" t="s">
        <v>521</v>
      </c>
      <c r="L37" s="39" t="s">
        <v>521</v>
      </c>
      <c r="M37" s="38" t="s">
        <v>520</v>
      </c>
      <c r="N37" s="39" t="s">
        <v>520</v>
      </c>
      <c r="O37" s="38" t="s">
        <v>520</v>
      </c>
      <c r="P37" s="39" t="s">
        <v>520</v>
      </c>
      <c r="Q37" s="38" t="s">
        <v>520</v>
      </c>
      <c r="R37" s="39"/>
      <c r="S37" s="38"/>
      <c r="T37" s="39"/>
      <c r="U37" s="38"/>
      <c r="V37" s="39"/>
      <c r="W37" s="38"/>
      <c r="X37" s="39"/>
      <c r="Y37" s="67"/>
    </row>
    <row r="38" spans="2:25" ht="18" customHeight="1" x14ac:dyDescent="0.25">
      <c r="B38" s="536"/>
      <c r="C38" s="541"/>
      <c r="D38" s="37" t="s">
        <v>26</v>
      </c>
      <c r="E38" s="38" t="s">
        <v>519</v>
      </c>
      <c r="F38" s="39" t="s">
        <v>519</v>
      </c>
      <c r="G38" s="38" t="s">
        <v>519</v>
      </c>
      <c r="H38" s="39" t="s">
        <v>519</v>
      </c>
      <c r="I38" s="38" t="s">
        <v>519</v>
      </c>
      <c r="J38" s="39" t="s">
        <v>519</v>
      </c>
      <c r="K38" s="38" t="s">
        <v>519</v>
      </c>
      <c r="L38" s="39" t="s">
        <v>519</v>
      </c>
      <c r="M38" s="38" t="s">
        <v>520</v>
      </c>
      <c r="N38" s="39" t="s">
        <v>519</v>
      </c>
      <c r="O38" s="38" t="s">
        <v>519</v>
      </c>
      <c r="P38" s="39" t="s">
        <v>519</v>
      </c>
      <c r="Q38" s="38" t="s">
        <v>519</v>
      </c>
      <c r="R38" s="39"/>
      <c r="S38" s="38"/>
      <c r="T38" s="39"/>
      <c r="U38" s="38"/>
      <c r="V38" s="39"/>
      <c r="W38" s="38"/>
      <c r="X38" s="39"/>
      <c r="Y38" s="67"/>
    </row>
    <row r="39" spans="2:25" ht="18" customHeight="1" thickBot="1" x14ac:dyDescent="0.3">
      <c r="B39" s="538"/>
      <c r="C39" s="542"/>
      <c r="D39" s="243" t="s">
        <v>6</v>
      </c>
      <c r="E39" s="40" t="s">
        <v>522</v>
      </c>
      <c r="F39" s="288" t="s">
        <v>522</v>
      </c>
      <c r="G39" s="40" t="s">
        <v>522</v>
      </c>
      <c r="H39" s="288" t="s">
        <v>522</v>
      </c>
      <c r="I39" s="40" t="s">
        <v>522</v>
      </c>
      <c r="J39" s="288" t="s">
        <v>522</v>
      </c>
      <c r="K39" s="40" t="s">
        <v>522</v>
      </c>
      <c r="L39" s="288" t="s">
        <v>522</v>
      </c>
      <c r="M39" s="40" t="s">
        <v>522</v>
      </c>
      <c r="N39" s="288" t="s">
        <v>522</v>
      </c>
      <c r="O39" s="40" t="s">
        <v>522</v>
      </c>
      <c r="P39" s="288" t="s">
        <v>522</v>
      </c>
      <c r="Q39" s="40" t="s">
        <v>522</v>
      </c>
      <c r="R39" s="288"/>
      <c r="S39" s="40"/>
      <c r="T39" s="288"/>
      <c r="U39" s="40"/>
      <c r="V39" s="288"/>
      <c r="W39" s="40"/>
      <c r="X39" s="288"/>
      <c r="Y39" s="67"/>
    </row>
    <row r="40" spans="2:25" ht="18" customHeight="1" x14ac:dyDescent="0.25">
      <c r="B40" s="534" t="s">
        <v>16</v>
      </c>
      <c r="C40" s="540"/>
      <c r="D40" s="41" t="s">
        <v>324</v>
      </c>
      <c r="E40" s="42" t="s">
        <v>523</v>
      </c>
      <c r="F40" s="43" t="s">
        <v>523</v>
      </c>
      <c r="G40" s="42" t="s">
        <v>523</v>
      </c>
      <c r="H40" s="43" t="s">
        <v>523</v>
      </c>
      <c r="I40" s="42" t="s">
        <v>523</v>
      </c>
      <c r="J40" s="43" t="s">
        <v>523</v>
      </c>
      <c r="K40" s="42" t="s">
        <v>523</v>
      </c>
      <c r="L40" s="43" t="s">
        <v>523</v>
      </c>
      <c r="M40" s="42" t="s">
        <v>523</v>
      </c>
      <c r="N40" s="43" t="s">
        <v>523</v>
      </c>
      <c r="O40" s="42" t="s">
        <v>523</v>
      </c>
      <c r="P40" s="43" t="s">
        <v>523</v>
      </c>
      <c r="Q40" s="42" t="s">
        <v>523</v>
      </c>
      <c r="R40" s="43" t="s">
        <v>523</v>
      </c>
      <c r="S40" s="42"/>
      <c r="T40" s="43"/>
      <c r="U40" s="42"/>
      <c r="V40" s="43"/>
      <c r="W40" s="42"/>
      <c r="X40" s="43"/>
      <c r="Y40" s="68"/>
    </row>
    <row r="41" spans="2:25" ht="18" customHeight="1" x14ac:dyDescent="0.25">
      <c r="B41" s="536"/>
      <c r="C41" s="541"/>
      <c r="D41" s="44" t="s">
        <v>111</v>
      </c>
      <c r="E41" s="45" t="s">
        <v>524</v>
      </c>
      <c r="F41" s="46" t="s">
        <v>524</v>
      </c>
      <c r="G41" s="45" t="s">
        <v>524</v>
      </c>
      <c r="H41" s="46" t="s">
        <v>524</v>
      </c>
      <c r="I41" s="45" t="s">
        <v>524</v>
      </c>
      <c r="J41" s="46" t="s">
        <v>524</v>
      </c>
      <c r="K41" s="45" t="s">
        <v>524</v>
      </c>
      <c r="L41" s="46" t="s">
        <v>524</v>
      </c>
      <c r="M41" s="45" t="s">
        <v>524</v>
      </c>
      <c r="N41" s="46" t="s">
        <v>524</v>
      </c>
      <c r="O41" s="45" t="s">
        <v>524</v>
      </c>
      <c r="P41" s="46" t="s">
        <v>524</v>
      </c>
      <c r="Q41" s="45" t="s">
        <v>524</v>
      </c>
      <c r="R41" s="46" t="s">
        <v>524</v>
      </c>
      <c r="S41" s="45"/>
      <c r="T41" s="46"/>
      <c r="U41" s="45"/>
      <c r="V41" s="46"/>
      <c r="W41" s="45"/>
      <c r="X41" s="46"/>
      <c r="Y41" s="68"/>
    </row>
    <row r="42" spans="2:25" ht="18" customHeight="1" x14ac:dyDescent="0.25">
      <c r="B42" s="536"/>
      <c r="C42" s="541"/>
      <c r="D42" s="44" t="s">
        <v>57</v>
      </c>
      <c r="E42" s="45" t="s">
        <v>525</v>
      </c>
      <c r="F42" s="46" t="s">
        <v>525</v>
      </c>
      <c r="G42" s="45" t="s">
        <v>525</v>
      </c>
      <c r="H42" s="46" t="s">
        <v>525</v>
      </c>
      <c r="I42" s="45" t="s">
        <v>525</v>
      </c>
      <c r="J42" s="46" t="s">
        <v>525</v>
      </c>
      <c r="K42" s="45" t="s">
        <v>525</v>
      </c>
      <c r="L42" s="46" t="s">
        <v>525</v>
      </c>
      <c r="M42" s="45" t="s">
        <v>525</v>
      </c>
      <c r="N42" s="46" t="s">
        <v>525</v>
      </c>
      <c r="O42" s="45" t="s">
        <v>525</v>
      </c>
      <c r="P42" s="46" t="s">
        <v>525</v>
      </c>
      <c r="Q42" s="45" t="s">
        <v>525</v>
      </c>
      <c r="R42" s="46" t="s">
        <v>525</v>
      </c>
      <c r="S42" s="45"/>
      <c r="T42" s="46"/>
      <c r="U42" s="45"/>
      <c r="V42" s="46"/>
      <c r="W42" s="45"/>
      <c r="X42" s="46"/>
      <c r="Y42" s="68"/>
    </row>
    <row r="43" spans="2:25" ht="18" customHeight="1" x14ac:dyDescent="0.25">
      <c r="B43" s="536"/>
      <c r="C43" s="541"/>
      <c r="D43" s="44" t="s">
        <v>112</v>
      </c>
      <c r="E43" s="45"/>
      <c r="F43" s="46"/>
      <c r="G43" s="45"/>
      <c r="H43" s="46"/>
      <c r="I43" s="45"/>
      <c r="J43" s="46"/>
      <c r="K43" s="45"/>
      <c r="L43" s="46"/>
      <c r="M43" s="45"/>
      <c r="N43" s="46"/>
      <c r="O43" s="45"/>
      <c r="P43" s="46"/>
      <c r="Q43" s="45"/>
      <c r="R43" s="46"/>
      <c r="S43" s="45"/>
      <c r="T43" s="46"/>
      <c r="U43" s="45"/>
      <c r="V43" s="46"/>
      <c r="W43" s="45"/>
      <c r="X43" s="46"/>
      <c r="Y43" s="68"/>
    </row>
    <row r="44" spans="2:25" ht="18" customHeight="1" x14ac:dyDescent="0.25">
      <c r="B44" s="536"/>
      <c r="C44" s="541"/>
      <c r="D44" s="44" t="s">
        <v>17</v>
      </c>
      <c r="E44" s="45" t="s">
        <v>526</v>
      </c>
      <c r="F44" s="46" t="s">
        <v>526</v>
      </c>
      <c r="G44" s="45" t="s">
        <v>526</v>
      </c>
      <c r="H44" s="46" t="s">
        <v>526</v>
      </c>
      <c r="I44" s="45" t="s">
        <v>526</v>
      </c>
      <c r="J44" s="46" t="s">
        <v>526</v>
      </c>
      <c r="K44" s="45" t="s">
        <v>526</v>
      </c>
      <c r="L44" s="46" t="s">
        <v>526</v>
      </c>
      <c r="M44" s="45" t="s">
        <v>526</v>
      </c>
      <c r="N44" s="46" t="s">
        <v>526</v>
      </c>
      <c r="O44" s="45" t="s">
        <v>526</v>
      </c>
      <c r="P44" s="46" t="s">
        <v>526</v>
      </c>
      <c r="Q44" s="45" t="s">
        <v>526</v>
      </c>
      <c r="R44" s="46" t="s">
        <v>526</v>
      </c>
      <c r="S44" s="45"/>
      <c r="T44" s="46"/>
      <c r="U44" s="45"/>
      <c r="V44" s="46"/>
      <c r="W44" s="45"/>
      <c r="X44" s="46"/>
      <c r="Y44" s="68"/>
    </row>
    <row r="45" spans="2:25" ht="18" customHeight="1" x14ac:dyDescent="0.25">
      <c r="B45" s="536"/>
      <c r="C45" s="541"/>
      <c r="D45" s="44" t="s">
        <v>7</v>
      </c>
      <c r="E45" s="45" t="s">
        <v>527</v>
      </c>
      <c r="F45" s="46" t="s">
        <v>527</v>
      </c>
      <c r="G45" s="45" t="s">
        <v>527</v>
      </c>
      <c r="H45" s="46" t="s">
        <v>527</v>
      </c>
      <c r="I45" s="45" t="s">
        <v>527</v>
      </c>
      <c r="J45" s="46" t="s">
        <v>527</v>
      </c>
      <c r="K45" s="45" t="s">
        <v>527</v>
      </c>
      <c r="L45" s="46" t="s">
        <v>527</v>
      </c>
      <c r="M45" s="45" t="s">
        <v>527</v>
      </c>
      <c r="N45" s="46" t="s">
        <v>527</v>
      </c>
      <c r="O45" s="45" t="s">
        <v>527</v>
      </c>
      <c r="P45" s="46" t="s">
        <v>527</v>
      </c>
      <c r="Q45" s="45" t="s">
        <v>527</v>
      </c>
      <c r="R45" s="46" t="s">
        <v>527</v>
      </c>
      <c r="S45" s="45"/>
      <c r="T45" s="46"/>
      <c r="U45" s="45"/>
      <c r="V45" s="46"/>
      <c r="W45" s="45"/>
      <c r="X45" s="46"/>
      <c r="Y45" s="68"/>
    </row>
    <row r="46" spans="2:25" ht="18" customHeight="1" x14ac:dyDescent="0.25">
      <c r="B46" s="536"/>
      <c r="C46" s="541"/>
      <c r="D46" s="44" t="s">
        <v>113</v>
      </c>
      <c r="E46" s="45">
        <v>28</v>
      </c>
      <c r="F46" s="46">
        <v>28</v>
      </c>
      <c r="G46" s="45">
        <v>25</v>
      </c>
      <c r="H46" s="46">
        <v>27</v>
      </c>
      <c r="I46" s="45">
        <v>30</v>
      </c>
      <c r="J46" s="46">
        <v>30</v>
      </c>
      <c r="K46" s="45">
        <v>23</v>
      </c>
      <c r="L46" s="46">
        <v>23</v>
      </c>
      <c r="M46" s="45">
        <v>25</v>
      </c>
      <c r="N46" s="46">
        <v>24</v>
      </c>
      <c r="O46" s="45">
        <v>27</v>
      </c>
      <c r="P46" s="46">
        <v>27</v>
      </c>
      <c r="Q46" s="45">
        <v>3</v>
      </c>
      <c r="R46" s="46"/>
      <c r="S46" s="45"/>
      <c r="T46" s="46"/>
      <c r="U46" s="45"/>
      <c r="V46" s="46"/>
      <c r="W46" s="45"/>
      <c r="X46" s="46"/>
      <c r="Y46" s="68"/>
    </row>
    <row r="47" spans="2:25" ht="18" customHeight="1" x14ac:dyDescent="0.25">
      <c r="B47" s="536"/>
      <c r="C47" s="541"/>
      <c r="D47" s="44" t="s">
        <v>18</v>
      </c>
      <c r="E47" s="45" t="s">
        <v>528</v>
      </c>
      <c r="F47" s="46" t="s">
        <v>528</v>
      </c>
      <c r="G47" s="45" t="s">
        <v>528</v>
      </c>
      <c r="H47" s="46" t="s">
        <v>528</v>
      </c>
      <c r="I47" s="45" t="s">
        <v>528</v>
      </c>
      <c r="J47" s="46" t="s">
        <v>528</v>
      </c>
      <c r="K47" s="45" t="s">
        <v>528</v>
      </c>
      <c r="L47" s="46" t="s">
        <v>529</v>
      </c>
      <c r="M47" s="45" t="s">
        <v>528</v>
      </c>
      <c r="N47" s="46" t="s">
        <v>528</v>
      </c>
      <c r="O47" s="45" t="s">
        <v>528</v>
      </c>
      <c r="P47" s="46" t="s">
        <v>528</v>
      </c>
      <c r="Q47" s="45" t="s">
        <v>528</v>
      </c>
      <c r="R47" s="46"/>
      <c r="S47" s="45"/>
      <c r="T47" s="46"/>
      <c r="U47" s="45"/>
      <c r="V47" s="46"/>
      <c r="W47" s="45"/>
      <c r="X47" s="46"/>
      <c r="Y47" s="68"/>
    </row>
    <row r="48" spans="2:25" ht="18" customHeight="1" thickBot="1" x14ac:dyDescent="0.3">
      <c r="B48" s="536"/>
      <c r="C48" s="541"/>
      <c r="D48" s="47" t="s">
        <v>19</v>
      </c>
      <c r="E48" s="258" t="s">
        <v>530</v>
      </c>
      <c r="F48" s="289" t="s">
        <v>531</v>
      </c>
      <c r="G48" s="258" t="s">
        <v>531</v>
      </c>
      <c r="H48" s="289" t="s">
        <v>530</v>
      </c>
      <c r="I48" s="258" t="s">
        <v>530</v>
      </c>
      <c r="J48" s="289" t="s">
        <v>531</v>
      </c>
      <c r="K48" s="258" t="s">
        <v>531</v>
      </c>
      <c r="L48" s="289" t="s">
        <v>532</v>
      </c>
      <c r="M48" s="258" t="s">
        <v>531</v>
      </c>
      <c r="N48" s="289" t="s">
        <v>530</v>
      </c>
      <c r="O48" s="258" t="s">
        <v>530</v>
      </c>
      <c r="P48" s="289" t="s">
        <v>530</v>
      </c>
      <c r="Q48" s="258" t="s">
        <v>530</v>
      </c>
      <c r="R48" s="289"/>
      <c r="S48" s="258"/>
      <c r="T48" s="289"/>
      <c r="U48" s="258"/>
      <c r="V48" s="289"/>
      <c r="W48" s="258"/>
      <c r="X48" s="289"/>
      <c r="Y48" s="68"/>
    </row>
    <row r="49" spans="1:25" ht="18" customHeight="1" x14ac:dyDescent="0.25">
      <c r="B49" s="534" t="s">
        <v>115</v>
      </c>
      <c r="C49" s="540"/>
      <c r="D49" s="80" t="s">
        <v>114</v>
      </c>
      <c r="E49" s="259" t="s">
        <v>525</v>
      </c>
      <c r="F49" s="290" t="s">
        <v>525</v>
      </c>
      <c r="G49" s="259" t="s">
        <v>525</v>
      </c>
      <c r="H49" s="290" t="s">
        <v>525</v>
      </c>
      <c r="I49" s="259" t="s">
        <v>525</v>
      </c>
      <c r="J49" s="290" t="s">
        <v>525</v>
      </c>
      <c r="K49" s="259" t="s">
        <v>525</v>
      </c>
      <c r="L49" s="290" t="s">
        <v>525</v>
      </c>
      <c r="M49" s="259" t="s">
        <v>525</v>
      </c>
      <c r="N49" s="290" t="s">
        <v>525</v>
      </c>
      <c r="O49" s="259" t="s">
        <v>525</v>
      </c>
      <c r="P49" s="290" t="s">
        <v>525</v>
      </c>
      <c r="Q49" s="259" t="s">
        <v>525</v>
      </c>
      <c r="R49" s="290" t="s">
        <v>525</v>
      </c>
      <c r="S49" s="259"/>
      <c r="T49" s="290"/>
      <c r="U49" s="259"/>
      <c r="V49" s="290"/>
      <c r="W49" s="259"/>
      <c r="X49" s="290"/>
      <c r="Y49" s="7"/>
    </row>
    <row r="50" spans="1:25" ht="18" customHeight="1" x14ac:dyDescent="0.25">
      <c r="B50" s="536"/>
      <c r="C50" s="541"/>
      <c r="D50" s="27" t="s">
        <v>63</v>
      </c>
      <c r="E50" s="247">
        <v>100000</v>
      </c>
      <c r="F50" s="291">
        <v>100000</v>
      </c>
      <c r="G50" s="247">
        <v>100000</v>
      </c>
      <c r="H50" s="291">
        <v>100000</v>
      </c>
      <c r="I50" s="247">
        <v>100000</v>
      </c>
      <c r="J50" s="291">
        <v>100000</v>
      </c>
      <c r="K50" s="247">
        <v>100000</v>
      </c>
      <c r="L50" s="291">
        <v>100000</v>
      </c>
      <c r="M50" s="247">
        <v>100000</v>
      </c>
      <c r="N50" s="291">
        <v>100000</v>
      </c>
      <c r="O50" s="247">
        <v>100000</v>
      </c>
      <c r="P50" s="291">
        <v>100000</v>
      </c>
      <c r="Q50" s="247">
        <v>100000</v>
      </c>
      <c r="R50" s="291"/>
      <c r="S50" s="247"/>
      <c r="T50" s="291"/>
      <c r="U50" s="247"/>
      <c r="V50" s="291"/>
      <c r="W50" s="247"/>
      <c r="X50" s="291"/>
      <c r="Y50" s="7"/>
    </row>
    <row r="51" spans="1:25" ht="18" customHeight="1" x14ac:dyDescent="0.25">
      <c r="B51" s="536"/>
      <c r="C51" s="541"/>
      <c r="D51" s="27" t="s">
        <v>34</v>
      </c>
      <c r="E51" s="247">
        <v>1600000</v>
      </c>
      <c r="F51" s="291">
        <v>1600000</v>
      </c>
      <c r="G51" s="247">
        <v>1800000</v>
      </c>
      <c r="H51" s="291">
        <v>2200000</v>
      </c>
      <c r="I51" s="247">
        <v>1500000</v>
      </c>
      <c r="J51" s="291">
        <v>1600000</v>
      </c>
      <c r="K51" s="247">
        <v>1700000</v>
      </c>
      <c r="L51" s="291">
        <v>1700000</v>
      </c>
      <c r="M51" s="247">
        <v>1700000</v>
      </c>
      <c r="N51" s="291">
        <v>1800000</v>
      </c>
      <c r="O51" s="247">
        <v>1800000</v>
      </c>
      <c r="P51" s="291">
        <v>1200000</v>
      </c>
      <c r="Q51" s="247">
        <v>1300000</v>
      </c>
      <c r="R51" s="291"/>
      <c r="S51" s="247"/>
      <c r="T51" s="291"/>
      <c r="U51" s="247"/>
      <c r="V51" s="291"/>
      <c r="W51" s="247"/>
      <c r="X51" s="291"/>
      <c r="Y51" s="7"/>
    </row>
    <row r="52" spans="1:25" ht="18" customHeight="1" x14ac:dyDescent="0.25">
      <c r="B52" s="536"/>
      <c r="C52" s="541"/>
      <c r="D52" s="27" t="s">
        <v>116</v>
      </c>
      <c r="E52" s="247">
        <v>800000</v>
      </c>
      <c r="F52" s="291">
        <v>800000</v>
      </c>
      <c r="G52" s="247">
        <v>900000</v>
      </c>
      <c r="H52" s="291">
        <v>1100000</v>
      </c>
      <c r="I52" s="247">
        <v>750000</v>
      </c>
      <c r="J52" s="291">
        <v>800000</v>
      </c>
      <c r="K52" s="247">
        <v>850000</v>
      </c>
      <c r="L52" s="291">
        <v>850000</v>
      </c>
      <c r="M52" s="247">
        <v>850000</v>
      </c>
      <c r="N52" s="291">
        <v>900000</v>
      </c>
      <c r="O52" s="247">
        <v>900000</v>
      </c>
      <c r="P52" s="291">
        <v>600000</v>
      </c>
      <c r="Q52" s="247">
        <v>650000</v>
      </c>
      <c r="R52" s="291"/>
      <c r="S52" s="247"/>
      <c r="T52" s="291"/>
      <c r="U52" s="247"/>
      <c r="V52" s="291"/>
      <c r="W52" s="247"/>
      <c r="X52" s="291"/>
      <c r="Y52" s="7"/>
    </row>
    <row r="53" spans="1:25" ht="18.75" customHeight="1" x14ac:dyDescent="0.25">
      <c r="B53" s="536"/>
      <c r="C53" s="541"/>
      <c r="D53" s="27" t="s">
        <v>117</v>
      </c>
      <c r="E53" s="247">
        <v>10</v>
      </c>
      <c r="F53" s="291">
        <v>10</v>
      </c>
      <c r="G53" s="247">
        <v>10</v>
      </c>
      <c r="H53" s="291">
        <v>10</v>
      </c>
      <c r="I53" s="247">
        <v>10</v>
      </c>
      <c r="J53" s="291">
        <v>10</v>
      </c>
      <c r="K53" s="247">
        <v>10</v>
      </c>
      <c r="L53" s="291">
        <v>10</v>
      </c>
      <c r="M53" s="247">
        <v>10</v>
      </c>
      <c r="N53" s="291">
        <v>10</v>
      </c>
      <c r="O53" s="247">
        <v>10</v>
      </c>
      <c r="P53" s="291">
        <v>10</v>
      </c>
      <c r="Q53" s="247">
        <v>10</v>
      </c>
      <c r="R53" s="291">
        <v>10</v>
      </c>
      <c r="S53" s="247"/>
      <c r="T53" s="291"/>
      <c r="U53" s="247"/>
      <c r="V53" s="291"/>
      <c r="W53" s="247"/>
      <c r="X53" s="291"/>
      <c r="Y53" s="7"/>
    </row>
    <row r="54" spans="1:25" ht="18.75" customHeight="1" x14ac:dyDescent="0.25">
      <c r="B54" s="536"/>
      <c r="C54" s="541"/>
      <c r="D54" s="27" t="s">
        <v>118</v>
      </c>
      <c r="E54" s="247"/>
      <c r="F54" s="291"/>
      <c r="G54" s="247"/>
      <c r="H54" s="291"/>
      <c r="I54" s="247"/>
      <c r="J54" s="291"/>
      <c r="K54" s="247"/>
      <c r="L54" s="291"/>
      <c r="M54" s="247"/>
      <c r="N54" s="291"/>
      <c r="O54" s="247"/>
      <c r="P54" s="291"/>
      <c r="Q54" s="247"/>
      <c r="R54" s="291"/>
      <c r="S54" s="247"/>
      <c r="T54" s="291"/>
      <c r="U54" s="247"/>
      <c r="V54" s="291"/>
      <c r="W54" s="247"/>
      <c r="X54" s="291"/>
      <c r="Y54" s="7"/>
    </row>
    <row r="55" spans="1:25" ht="18.75" customHeight="1" x14ac:dyDescent="0.25">
      <c r="B55" s="536"/>
      <c r="C55" s="541"/>
      <c r="D55" s="27" t="s">
        <v>119</v>
      </c>
      <c r="E55" s="247"/>
      <c r="F55" s="291">
        <v>1500000</v>
      </c>
      <c r="G55" s="247">
        <v>1500000</v>
      </c>
      <c r="H55" s="291"/>
      <c r="I55" s="247">
        <v>1500000</v>
      </c>
      <c r="J55" s="291">
        <v>1500000</v>
      </c>
      <c r="K55" s="247">
        <v>1500000</v>
      </c>
      <c r="L55" s="291">
        <v>1500000</v>
      </c>
      <c r="M55" s="247">
        <v>1500000</v>
      </c>
      <c r="N55" s="291"/>
      <c r="O55" s="247"/>
      <c r="P55" s="291"/>
      <c r="Q55" s="247"/>
      <c r="R55" s="291"/>
      <c r="S55" s="247"/>
      <c r="T55" s="291"/>
      <c r="U55" s="247"/>
      <c r="V55" s="291"/>
      <c r="W55" s="247"/>
      <c r="X55" s="291"/>
      <c r="Y55" s="7"/>
    </row>
    <row r="56" spans="1:25" ht="18.75" customHeight="1" x14ac:dyDescent="0.25">
      <c r="B56" s="536"/>
      <c r="C56" s="541"/>
      <c r="D56" s="27" t="s">
        <v>120</v>
      </c>
      <c r="E56" s="247"/>
      <c r="F56" s="291"/>
      <c r="G56" s="247"/>
      <c r="H56" s="291"/>
      <c r="I56" s="247"/>
      <c r="J56" s="291"/>
      <c r="K56" s="247"/>
      <c r="L56" s="291"/>
      <c r="M56" s="247"/>
      <c r="N56" s="291"/>
      <c r="O56" s="247"/>
      <c r="P56" s="291"/>
      <c r="Q56" s="247"/>
      <c r="R56" s="291"/>
      <c r="S56" s="247"/>
      <c r="T56" s="291"/>
      <c r="U56" s="247"/>
      <c r="V56" s="291"/>
      <c r="W56" s="247"/>
      <c r="X56" s="291"/>
      <c r="Y56" s="7"/>
    </row>
    <row r="57" spans="1:25" ht="18.75" customHeight="1" x14ac:dyDescent="0.25">
      <c r="B57" s="536"/>
      <c r="C57" s="541"/>
      <c r="D57" s="27" t="s">
        <v>121</v>
      </c>
      <c r="E57" s="248">
        <v>550000</v>
      </c>
      <c r="F57" s="292">
        <v>550000</v>
      </c>
      <c r="G57" s="248">
        <v>550000</v>
      </c>
      <c r="H57" s="292">
        <v>780000</v>
      </c>
      <c r="I57" s="248">
        <v>550000</v>
      </c>
      <c r="J57" s="292">
        <v>1100000</v>
      </c>
      <c r="K57" s="248">
        <v>910000</v>
      </c>
      <c r="L57" s="292">
        <v>550000</v>
      </c>
      <c r="M57" s="248">
        <v>550000</v>
      </c>
      <c r="N57" s="292">
        <v>910000</v>
      </c>
      <c r="O57" s="248">
        <v>0</v>
      </c>
      <c r="P57" s="292">
        <v>0</v>
      </c>
      <c r="Q57" s="248">
        <v>0</v>
      </c>
      <c r="R57" s="292">
        <f t="shared" ref="R57:X57" si="25">R77+R76</f>
        <v>0</v>
      </c>
      <c r="S57" s="248">
        <f t="shared" si="25"/>
        <v>0</v>
      </c>
      <c r="T57" s="292">
        <f t="shared" si="25"/>
        <v>0</v>
      </c>
      <c r="U57" s="248">
        <f t="shared" si="25"/>
        <v>0</v>
      </c>
      <c r="V57" s="292">
        <f t="shared" si="25"/>
        <v>0</v>
      </c>
      <c r="W57" s="248">
        <f t="shared" si="25"/>
        <v>0</v>
      </c>
      <c r="X57" s="292">
        <f t="shared" si="25"/>
        <v>0</v>
      </c>
      <c r="Y57" s="7"/>
    </row>
    <row r="58" spans="1:25" ht="18.75" customHeight="1" x14ac:dyDescent="0.25">
      <c r="B58" s="536"/>
      <c r="C58" s="541"/>
      <c r="D58" s="27" t="s">
        <v>122</v>
      </c>
      <c r="E58" s="248">
        <f>E92+E105+E118</f>
        <v>0</v>
      </c>
      <c r="F58" s="248">
        <f t="shared" ref="F58:X58" si="26">F92+F105+F118</f>
        <v>0</v>
      </c>
      <c r="G58" s="248">
        <f t="shared" si="26"/>
        <v>0</v>
      </c>
      <c r="H58" s="248">
        <f t="shared" si="26"/>
        <v>0</v>
      </c>
      <c r="I58" s="248">
        <f t="shared" si="26"/>
        <v>0</v>
      </c>
      <c r="J58" s="248">
        <f t="shared" si="26"/>
        <v>0</v>
      </c>
      <c r="K58" s="248">
        <f t="shared" si="26"/>
        <v>0</v>
      </c>
      <c r="L58" s="248">
        <f t="shared" si="26"/>
        <v>0</v>
      </c>
      <c r="M58" s="248">
        <f t="shared" si="26"/>
        <v>0</v>
      </c>
      <c r="N58" s="248">
        <f t="shared" si="26"/>
        <v>0</v>
      </c>
      <c r="O58" s="248">
        <f t="shared" si="26"/>
        <v>0</v>
      </c>
      <c r="P58" s="248">
        <f t="shared" si="26"/>
        <v>0</v>
      </c>
      <c r="Q58" s="248">
        <f t="shared" si="26"/>
        <v>0</v>
      </c>
      <c r="R58" s="248">
        <f t="shared" si="26"/>
        <v>0</v>
      </c>
      <c r="S58" s="248">
        <f t="shared" si="26"/>
        <v>0</v>
      </c>
      <c r="T58" s="248">
        <f t="shared" si="26"/>
        <v>0</v>
      </c>
      <c r="U58" s="248">
        <f t="shared" si="26"/>
        <v>0</v>
      </c>
      <c r="V58" s="248">
        <f t="shared" si="26"/>
        <v>0</v>
      </c>
      <c r="W58" s="248">
        <f t="shared" si="26"/>
        <v>0</v>
      </c>
      <c r="X58" s="248">
        <f t="shared" si="26"/>
        <v>0</v>
      </c>
      <c r="Y58" s="7"/>
    </row>
    <row r="59" spans="1:25" ht="18.75" customHeight="1" x14ac:dyDescent="0.25">
      <c r="B59" s="536"/>
      <c r="C59" s="541"/>
      <c r="D59" s="27" t="s">
        <v>61</v>
      </c>
      <c r="E59" s="247"/>
      <c r="F59" s="291"/>
      <c r="G59" s="247"/>
      <c r="H59" s="291"/>
      <c r="I59" s="247"/>
      <c r="J59" s="291"/>
      <c r="K59" s="247"/>
      <c r="L59" s="291"/>
      <c r="M59" s="247"/>
      <c r="N59" s="291"/>
      <c r="O59" s="247"/>
      <c r="P59" s="291"/>
      <c r="Q59" s="247"/>
      <c r="R59" s="291"/>
      <c r="S59" s="247"/>
      <c r="T59" s="291"/>
      <c r="U59" s="247"/>
      <c r="V59" s="291"/>
      <c r="W59" s="247"/>
      <c r="X59" s="291"/>
      <c r="Y59" s="7"/>
    </row>
    <row r="60" spans="1:25" ht="21.75" customHeight="1" x14ac:dyDescent="0.25">
      <c r="A60" s="7" t="s">
        <v>38</v>
      </c>
      <c r="B60" s="536"/>
      <c r="C60" s="541"/>
      <c r="D60" s="28" t="s">
        <v>39</v>
      </c>
      <c r="E60" s="249">
        <f t="shared" ref="E60:X60" si="27">E52+E59+E54+E57+E58</f>
        <v>1350000</v>
      </c>
      <c r="F60" s="293">
        <f t="shared" si="27"/>
        <v>1350000</v>
      </c>
      <c r="G60" s="249">
        <f t="shared" si="27"/>
        <v>1450000</v>
      </c>
      <c r="H60" s="293">
        <f t="shared" si="27"/>
        <v>1880000</v>
      </c>
      <c r="I60" s="249">
        <f t="shared" si="27"/>
        <v>1300000</v>
      </c>
      <c r="J60" s="293">
        <f t="shared" si="27"/>
        <v>1900000</v>
      </c>
      <c r="K60" s="249">
        <f t="shared" si="27"/>
        <v>1760000</v>
      </c>
      <c r="L60" s="293">
        <f t="shared" si="27"/>
        <v>1400000</v>
      </c>
      <c r="M60" s="249">
        <f t="shared" si="27"/>
        <v>1400000</v>
      </c>
      <c r="N60" s="293">
        <f t="shared" si="27"/>
        <v>1810000</v>
      </c>
      <c r="O60" s="249">
        <f t="shared" si="27"/>
        <v>900000</v>
      </c>
      <c r="P60" s="293">
        <f t="shared" si="27"/>
        <v>600000</v>
      </c>
      <c r="Q60" s="249">
        <f t="shared" si="27"/>
        <v>650000</v>
      </c>
      <c r="R60" s="293">
        <f t="shared" si="27"/>
        <v>0</v>
      </c>
      <c r="S60" s="249">
        <f t="shared" si="27"/>
        <v>0</v>
      </c>
      <c r="T60" s="293">
        <f t="shared" si="27"/>
        <v>0</v>
      </c>
      <c r="U60" s="249">
        <f t="shared" si="27"/>
        <v>0</v>
      </c>
      <c r="V60" s="293">
        <f t="shared" si="27"/>
        <v>0</v>
      </c>
      <c r="W60" s="249">
        <f t="shared" si="27"/>
        <v>0</v>
      </c>
      <c r="X60" s="293">
        <f t="shared" si="27"/>
        <v>0</v>
      </c>
      <c r="Y60" s="7"/>
    </row>
    <row r="61" spans="1:25" ht="35.25" customHeight="1" x14ac:dyDescent="0.25">
      <c r="B61" s="536"/>
      <c r="C61" s="541"/>
      <c r="D61" s="27" t="s">
        <v>123</v>
      </c>
      <c r="E61" s="246"/>
      <c r="F61" s="294"/>
      <c r="G61" s="246"/>
      <c r="H61" s="294"/>
      <c r="I61" s="246"/>
      <c r="J61" s="294"/>
      <c r="K61" s="246"/>
      <c r="L61" s="294"/>
      <c r="M61" s="246"/>
      <c r="N61" s="294"/>
      <c r="O61" s="246"/>
      <c r="P61" s="294"/>
      <c r="Q61" s="246"/>
      <c r="R61" s="294"/>
      <c r="S61" s="246"/>
      <c r="T61" s="294"/>
      <c r="U61" s="246"/>
      <c r="V61" s="294"/>
      <c r="W61" s="246"/>
      <c r="X61" s="294"/>
      <c r="Y61" s="7"/>
    </row>
    <row r="62" spans="1:25" ht="36" customHeight="1" x14ac:dyDescent="0.25">
      <c r="B62" s="536"/>
      <c r="C62" s="541"/>
      <c r="D62" s="81" t="s">
        <v>124</v>
      </c>
      <c r="E62" s="249">
        <f t="shared" ref="E62:X62" si="28">E51+E60-E61</f>
        <v>2950000</v>
      </c>
      <c r="F62" s="293">
        <f t="shared" si="28"/>
        <v>2950000</v>
      </c>
      <c r="G62" s="249">
        <f t="shared" si="28"/>
        <v>3250000</v>
      </c>
      <c r="H62" s="293">
        <f t="shared" si="28"/>
        <v>4080000</v>
      </c>
      <c r="I62" s="249">
        <f t="shared" si="28"/>
        <v>2800000</v>
      </c>
      <c r="J62" s="293">
        <f t="shared" si="28"/>
        <v>3500000</v>
      </c>
      <c r="K62" s="249">
        <f t="shared" si="28"/>
        <v>3460000</v>
      </c>
      <c r="L62" s="293">
        <f t="shared" si="28"/>
        <v>3100000</v>
      </c>
      <c r="M62" s="249">
        <f t="shared" si="28"/>
        <v>3100000</v>
      </c>
      <c r="N62" s="293">
        <f t="shared" si="28"/>
        <v>3610000</v>
      </c>
      <c r="O62" s="249">
        <f t="shared" si="28"/>
        <v>2700000</v>
      </c>
      <c r="P62" s="293">
        <f t="shared" si="28"/>
        <v>1800000</v>
      </c>
      <c r="Q62" s="249">
        <f t="shared" si="28"/>
        <v>1950000</v>
      </c>
      <c r="R62" s="293">
        <f t="shared" si="28"/>
        <v>0</v>
      </c>
      <c r="S62" s="249">
        <f t="shared" si="28"/>
        <v>0</v>
      </c>
      <c r="T62" s="293">
        <f t="shared" si="28"/>
        <v>0</v>
      </c>
      <c r="U62" s="249">
        <f t="shared" si="28"/>
        <v>0</v>
      </c>
      <c r="V62" s="293">
        <f t="shared" si="28"/>
        <v>0</v>
      </c>
      <c r="W62" s="249">
        <f t="shared" si="28"/>
        <v>0</v>
      </c>
      <c r="X62" s="293">
        <f t="shared" si="28"/>
        <v>0</v>
      </c>
      <c r="Y62" s="7"/>
    </row>
    <row r="63" spans="1:25" ht="21" customHeight="1" x14ac:dyDescent="0.25">
      <c r="B63" s="536"/>
      <c r="C63" s="541"/>
      <c r="D63" s="28" t="s">
        <v>125</v>
      </c>
      <c r="E63" s="246">
        <v>4990000</v>
      </c>
      <c r="F63" s="294">
        <v>5490000</v>
      </c>
      <c r="G63" s="246">
        <v>5810000</v>
      </c>
      <c r="H63" s="294">
        <v>6140000</v>
      </c>
      <c r="I63" s="246">
        <v>7560000</v>
      </c>
      <c r="J63" s="294">
        <v>6640000</v>
      </c>
      <c r="K63" s="246">
        <v>7030000</v>
      </c>
      <c r="L63" s="294">
        <v>7940000</v>
      </c>
      <c r="M63" s="246">
        <v>4530000</v>
      </c>
      <c r="N63" s="294">
        <v>1800000</v>
      </c>
      <c r="O63" s="246">
        <v>1800000</v>
      </c>
      <c r="P63" s="294">
        <v>1200000</v>
      </c>
      <c r="Q63" s="246">
        <v>2150000</v>
      </c>
      <c r="R63" s="294"/>
      <c r="S63" s="246"/>
      <c r="T63" s="294"/>
      <c r="U63" s="246"/>
      <c r="V63" s="294"/>
      <c r="W63" s="246"/>
      <c r="X63" s="294"/>
      <c r="Y63" s="7"/>
    </row>
    <row r="64" spans="1:25" ht="20.25" customHeight="1" x14ac:dyDescent="0.25">
      <c r="B64" s="536"/>
      <c r="C64" s="541"/>
      <c r="D64" s="27" t="s">
        <v>13</v>
      </c>
      <c r="E64" s="82"/>
      <c r="F64" s="295" t="s">
        <v>550</v>
      </c>
      <c r="G64" s="82" t="s">
        <v>550</v>
      </c>
      <c r="H64" s="295"/>
      <c r="I64" s="82" t="s">
        <v>549</v>
      </c>
      <c r="J64" s="295" t="s">
        <v>549</v>
      </c>
      <c r="K64" s="82" t="s">
        <v>550</v>
      </c>
      <c r="L64" s="295" t="s">
        <v>550</v>
      </c>
      <c r="M64" s="82" t="s">
        <v>550</v>
      </c>
      <c r="N64" s="295"/>
      <c r="O64" s="82"/>
      <c r="P64" s="295"/>
      <c r="Q64" s="82"/>
      <c r="R64" s="295" t="s">
        <v>550</v>
      </c>
      <c r="S64" s="82"/>
      <c r="T64" s="295"/>
      <c r="U64" s="82"/>
      <c r="V64" s="295"/>
      <c r="W64" s="82"/>
      <c r="X64" s="295"/>
      <c r="Y64" s="7"/>
    </row>
    <row r="65" spans="2:25" ht="18.75" customHeight="1" x14ac:dyDescent="0.25">
      <c r="B65" s="536"/>
      <c r="C65" s="541"/>
      <c r="D65" s="27" t="s">
        <v>12</v>
      </c>
      <c r="E65" s="82"/>
      <c r="F65" s="295"/>
      <c r="G65" s="82"/>
      <c r="H65" s="295"/>
      <c r="I65" s="82" t="s">
        <v>550</v>
      </c>
      <c r="J65" s="295" t="s">
        <v>550</v>
      </c>
      <c r="K65" s="82"/>
      <c r="L65" s="295"/>
      <c r="M65" s="82"/>
      <c r="N65" s="295"/>
      <c r="O65" s="82"/>
      <c r="P65" s="295"/>
      <c r="Q65" s="82"/>
      <c r="R65" s="295" t="s">
        <v>550</v>
      </c>
      <c r="S65" s="82"/>
      <c r="T65" s="295"/>
      <c r="U65" s="82"/>
      <c r="V65" s="295"/>
      <c r="W65" s="82"/>
      <c r="X65" s="295"/>
      <c r="Y65" s="7"/>
    </row>
    <row r="66" spans="2:25" ht="18" customHeight="1" x14ac:dyDescent="0.25">
      <c r="B66" s="536"/>
      <c r="C66" s="541"/>
      <c r="D66" s="27" t="s">
        <v>126</v>
      </c>
      <c r="E66" s="246">
        <v>808489</v>
      </c>
      <c r="F66" s="294">
        <v>4888028</v>
      </c>
      <c r="G66" s="246">
        <v>1686197</v>
      </c>
      <c r="H66" s="294">
        <v>1481865</v>
      </c>
      <c r="I66" s="246">
        <v>2938480</v>
      </c>
      <c r="J66" s="294">
        <v>6460000</v>
      </c>
      <c r="K66" s="246">
        <v>9531919</v>
      </c>
      <c r="L66" s="294">
        <v>213056</v>
      </c>
      <c r="M66" s="246">
        <v>10285751</v>
      </c>
      <c r="N66" s="294">
        <v>8290432</v>
      </c>
      <c r="O66" s="246">
        <v>6000000</v>
      </c>
      <c r="P66" s="294">
        <v>3000000</v>
      </c>
      <c r="Q66" s="246">
        <v>2100000</v>
      </c>
      <c r="R66" s="294"/>
      <c r="S66" s="246"/>
      <c r="T66" s="294"/>
      <c r="U66" s="246"/>
      <c r="V66" s="294"/>
      <c r="W66" s="246"/>
      <c r="X66" s="294"/>
      <c r="Y66" s="7"/>
    </row>
    <row r="67" spans="2:25" ht="18" customHeight="1" x14ac:dyDescent="0.25">
      <c r="B67" s="536"/>
      <c r="C67" s="541"/>
      <c r="D67" s="27" t="s">
        <v>234</v>
      </c>
      <c r="E67" s="246">
        <v>5000000</v>
      </c>
      <c r="F67" s="294">
        <v>5000000</v>
      </c>
      <c r="G67" s="246">
        <v>5000000</v>
      </c>
      <c r="H67" s="294">
        <v>6000000</v>
      </c>
      <c r="I67" s="246">
        <v>5000000</v>
      </c>
      <c r="J67" s="294">
        <v>10000000</v>
      </c>
      <c r="K67" s="246">
        <v>9000000</v>
      </c>
      <c r="L67" s="294">
        <v>5000000</v>
      </c>
      <c r="M67" s="246">
        <v>5000000</v>
      </c>
      <c r="N67" s="294">
        <v>9000000</v>
      </c>
      <c r="O67" s="246"/>
      <c r="P67" s="294"/>
      <c r="Q67" s="246"/>
      <c r="R67" s="294"/>
      <c r="S67" s="246"/>
      <c r="T67" s="294"/>
      <c r="U67" s="246"/>
      <c r="V67" s="294"/>
      <c r="W67" s="246"/>
      <c r="X67" s="294"/>
      <c r="Y67" s="7"/>
    </row>
    <row r="68" spans="2:25" ht="18" customHeight="1" x14ac:dyDescent="0.25">
      <c r="B68" s="536"/>
      <c r="C68" s="541"/>
      <c r="D68" s="27" t="s">
        <v>235</v>
      </c>
      <c r="E68" s="246">
        <v>1</v>
      </c>
      <c r="F68" s="294">
        <v>1</v>
      </c>
      <c r="G68" s="246">
        <v>1</v>
      </c>
      <c r="H68" s="294">
        <v>1</v>
      </c>
      <c r="I68" s="246">
        <v>1</v>
      </c>
      <c r="J68" s="294">
        <v>2</v>
      </c>
      <c r="K68" s="246">
        <v>1</v>
      </c>
      <c r="L68" s="294">
        <v>1</v>
      </c>
      <c r="M68" s="246">
        <v>1</v>
      </c>
      <c r="N68" s="294">
        <v>1</v>
      </c>
      <c r="O68" s="246"/>
      <c r="P68" s="294"/>
      <c r="Q68" s="246"/>
      <c r="R68" s="294"/>
      <c r="S68" s="246"/>
      <c r="T68" s="294"/>
      <c r="U68" s="246"/>
      <c r="V68" s="294"/>
      <c r="W68" s="246"/>
      <c r="X68" s="294"/>
      <c r="Y68" s="7"/>
    </row>
    <row r="69" spans="2:25" ht="18" customHeight="1" x14ac:dyDescent="0.25">
      <c r="B69" s="536"/>
      <c r="C69" s="541"/>
      <c r="D69" s="27" t="s">
        <v>127</v>
      </c>
      <c r="E69" s="246">
        <v>4500000</v>
      </c>
      <c r="F69" s="294">
        <v>2000000</v>
      </c>
      <c r="G69" s="246">
        <v>3000000</v>
      </c>
      <c r="H69" s="294">
        <v>5000000</v>
      </c>
      <c r="I69" s="246">
        <v>5000000</v>
      </c>
      <c r="J69" s="294">
        <v>5000000</v>
      </c>
      <c r="K69" s="246">
        <v>5000000</v>
      </c>
      <c r="L69" s="294">
        <v>5000000</v>
      </c>
      <c r="M69" s="246"/>
      <c r="N69" s="294">
        <v>5000000</v>
      </c>
      <c r="O69" s="246"/>
      <c r="P69" s="294"/>
      <c r="Q69" s="246"/>
      <c r="R69" s="294"/>
      <c r="S69" s="246"/>
      <c r="T69" s="294"/>
      <c r="U69" s="246"/>
      <c r="V69" s="294"/>
      <c r="W69" s="246"/>
      <c r="X69" s="294"/>
      <c r="Y69" s="7"/>
    </row>
    <row r="70" spans="2:25" ht="18" customHeight="1" x14ac:dyDescent="0.25">
      <c r="B70" s="536"/>
      <c r="C70" s="541"/>
      <c r="D70" s="27" t="s">
        <v>128</v>
      </c>
      <c r="E70" s="246">
        <v>4500000</v>
      </c>
      <c r="F70" s="294">
        <v>2000000</v>
      </c>
      <c r="G70" s="246">
        <v>4000000</v>
      </c>
      <c r="H70" s="294">
        <v>5000000</v>
      </c>
      <c r="I70" s="246">
        <v>5000000</v>
      </c>
      <c r="J70" s="294">
        <v>5000000</v>
      </c>
      <c r="K70" s="246">
        <v>5000000</v>
      </c>
      <c r="L70" s="294">
        <v>5000000</v>
      </c>
      <c r="M70" s="246"/>
      <c r="N70" s="294">
        <v>5000000</v>
      </c>
      <c r="O70" s="246"/>
      <c r="P70" s="294"/>
      <c r="Q70" s="246"/>
      <c r="R70" s="294"/>
      <c r="S70" s="246"/>
      <c r="T70" s="294"/>
      <c r="U70" s="246"/>
      <c r="V70" s="294"/>
      <c r="W70" s="246"/>
      <c r="X70" s="294"/>
      <c r="Y70" s="7"/>
    </row>
    <row r="71" spans="2:25" ht="18" customHeight="1" x14ac:dyDescent="0.25">
      <c r="B71" s="536"/>
      <c r="C71" s="541"/>
      <c r="D71" s="27" t="s">
        <v>129</v>
      </c>
      <c r="E71" s="83">
        <f t="shared" ref="E71:X71" si="29">E67/E68</f>
        <v>5000000</v>
      </c>
      <c r="F71" s="296">
        <f t="shared" si="29"/>
        <v>5000000</v>
      </c>
      <c r="G71" s="83">
        <f t="shared" si="29"/>
        <v>5000000</v>
      </c>
      <c r="H71" s="296">
        <f t="shared" si="29"/>
        <v>6000000</v>
      </c>
      <c r="I71" s="83">
        <f t="shared" si="29"/>
        <v>5000000</v>
      </c>
      <c r="J71" s="296">
        <f t="shared" si="29"/>
        <v>5000000</v>
      </c>
      <c r="K71" s="83">
        <f t="shared" si="29"/>
        <v>9000000</v>
      </c>
      <c r="L71" s="296">
        <f t="shared" si="29"/>
        <v>5000000</v>
      </c>
      <c r="M71" s="83">
        <f t="shared" si="29"/>
        <v>5000000</v>
      </c>
      <c r="N71" s="296">
        <f t="shared" si="29"/>
        <v>9000000</v>
      </c>
      <c r="O71" s="83" t="e">
        <f t="shared" si="29"/>
        <v>#DIV/0!</v>
      </c>
      <c r="P71" s="296" t="e">
        <f t="shared" si="29"/>
        <v>#DIV/0!</v>
      </c>
      <c r="Q71" s="83" t="e">
        <f t="shared" si="29"/>
        <v>#DIV/0!</v>
      </c>
      <c r="R71" s="296" t="e">
        <f t="shared" si="29"/>
        <v>#DIV/0!</v>
      </c>
      <c r="S71" s="83" t="e">
        <f t="shared" si="29"/>
        <v>#DIV/0!</v>
      </c>
      <c r="T71" s="296" t="e">
        <f t="shared" si="29"/>
        <v>#DIV/0!</v>
      </c>
      <c r="U71" s="83" t="e">
        <f t="shared" si="29"/>
        <v>#DIV/0!</v>
      </c>
      <c r="V71" s="296" t="e">
        <f t="shared" si="29"/>
        <v>#DIV/0!</v>
      </c>
      <c r="W71" s="83" t="e">
        <f t="shared" si="29"/>
        <v>#DIV/0!</v>
      </c>
      <c r="X71" s="296" t="e">
        <f t="shared" si="29"/>
        <v>#DIV/0!</v>
      </c>
      <c r="Y71" s="7"/>
    </row>
    <row r="72" spans="2:25" ht="18" customHeight="1" x14ac:dyDescent="0.25">
      <c r="B72" s="536"/>
      <c r="C72" s="541"/>
      <c r="D72" s="27" t="s">
        <v>130</v>
      </c>
      <c r="E72" s="246">
        <v>9</v>
      </c>
      <c r="F72" s="294">
        <v>4</v>
      </c>
      <c r="G72" s="246">
        <v>6</v>
      </c>
      <c r="H72" s="294">
        <v>10</v>
      </c>
      <c r="I72" s="246">
        <v>10</v>
      </c>
      <c r="J72" s="294">
        <v>10</v>
      </c>
      <c r="K72" s="246">
        <v>10</v>
      </c>
      <c r="L72" s="294">
        <v>10</v>
      </c>
      <c r="M72" s="246"/>
      <c r="N72" s="294">
        <v>10</v>
      </c>
      <c r="O72" s="246"/>
      <c r="P72" s="294"/>
      <c r="Q72" s="246"/>
      <c r="R72" s="294"/>
      <c r="S72" s="246"/>
      <c r="T72" s="294"/>
      <c r="U72" s="246"/>
      <c r="V72" s="294"/>
      <c r="W72" s="246"/>
      <c r="X72" s="294"/>
      <c r="Y72" s="7"/>
    </row>
    <row r="73" spans="2:25" ht="18" customHeight="1" x14ac:dyDescent="0.25">
      <c r="B73" s="536"/>
      <c r="C73" s="541"/>
      <c r="D73" s="27" t="s">
        <v>131</v>
      </c>
      <c r="E73" s="246">
        <v>9</v>
      </c>
      <c r="F73" s="294">
        <v>4</v>
      </c>
      <c r="G73" s="246">
        <v>8</v>
      </c>
      <c r="H73" s="294">
        <v>10</v>
      </c>
      <c r="I73" s="246">
        <v>10</v>
      </c>
      <c r="J73" s="294">
        <v>10</v>
      </c>
      <c r="K73" s="246">
        <v>10</v>
      </c>
      <c r="L73" s="294">
        <v>10</v>
      </c>
      <c r="M73" s="246"/>
      <c r="N73" s="294">
        <v>10</v>
      </c>
      <c r="O73" s="246"/>
      <c r="P73" s="294"/>
      <c r="Q73" s="246"/>
      <c r="R73" s="294"/>
      <c r="S73" s="246"/>
      <c r="T73" s="294"/>
      <c r="U73" s="246"/>
      <c r="V73" s="294"/>
      <c r="W73" s="246"/>
      <c r="X73" s="294"/>
      <c r="Y73" s="7"/>
    </row>
    <row r="74" spans="2:25" ht="18" customHeight="1" x14ac:dyDescent="0.25">
      <c r="B74" s="536"/>
      <c r="C74" s="541"/>
      <c r="D74" s="27" t="s">
        <v>132</v>
      </c>
      <c r="E74" s="246">
        <v>100</v>
      </c>
      <c r="F74" s="294">
        <v>100</v>
      </c>
      <c r="G74" s="246">
        <v>100</v>
      </c>
      <c r="H74" s="294">
        <v>100</v>
      </c>
      <c r="I74" s="246">
        <v>100</v>
      </c>
      <c r="J74" s="294">
        <v>100</v>
      </c>
      <c r="K74" s="246">
        <v>100</v>
      </c>
      <c r="L74" s="294">
        <v>100</v>
      </c>
      <c r="M74" s="246">
        <v>100</v>
      </c>
      <c r="N74" s="294">
        <v>100</v>
      </c>
      <c r="O74" s="246">
        <v>100</v>
      </c>
      <c r="P74" s="294">
        <v>100</v>
      </c>
      <c r="Q74" s="246">
        <v>100</v>
      </c>
      <c r="R74" s="294">
        <v>100</v>
      </c>
      <c r="S74" s="246"/>
      <c r="T74" s="294"/>
      <c r="U74" s="246"/>
      <c r="V74" s="294"/>
      <c r="W74" s="246"/>
      <c r="X74" s="294"/>
      <c r="Y74" s="7"/>
    </row>
    <row r="75" spans="2:25" ht="18" customHeight="1" x14ac:dyDescent="0.25">
      <c r="B75" s="536"/>
      <c r="C75" s="541"/>
      <c r="D75" s="27" t="s">
        <v>133</v>
      </c>
      <c r="E75" s="246">
        <v>24</v>
      </c>
      <c r="F75" s="294">
        <v>24</v>
      </c>
      <c r="G75" s="246">
        <v>24</v>
      </c>
      <c r="H75" s="294">
        <v>24</v>
      </c>
      <c r="I75" s="246">
        <v>24</v>
      </c>
      <c r="J75" s="294">
        <v>24</v>
      </c>
      <c r="K75" s="246">
        <v>24</v>
      </c>
      <c r="L75" s="294">
        <v>24</v>
      </c>
      <c r="M75" s="246"/>
      <c r="N75" s="294">
        <v>24</v>
      </c>
      <c r="O75" s="246"/>
      <c r="P75" s="294"/>
      <c r="Q75" s="246"/>
      <c r="R75" s="294"/>
      <c r="S75" s="246"/>
      <c r="T75" s="294"/>
      <c r="U75" s="246"/>
      <c r="V75" s="294"/>
      <c r="W75" s="246"/>
      <c r="X75" s="294"/>
      <c r="Y75" s="7"/>
    </row>
    <row r="76" spans="2:25" ht="18" customHeight="1" x14ac:dyDescent="0.25">
      <c r="B76" s="536"/>
      <c r="C76" s="541"/>
      <c r="D76" s="27" t="s">
        <v>134</v>
      </c>
      <c r="E76" s="246">
        <v>550000</v>
      </c>
      <c r="F76" s="294">
        <v>550000</v>
      </c>
      <c r="G76" s="246">
        <v>550000</v>
      </c>
      <c r="H76" s="294">
        <v>780000</v>
      </c>
      <c r="I76" s="246">
        <v>550000</v>
      </c>
      <c r="J76" s="294">
        <v>1100000</v>
      </c>
      <c r="K76" s="246">
        <v>910000</v>
      </c>
      <c r="L76" s="294">
        <v>550000</v>
      </c>
      <c r="M76" s="246">
        <v>550000</v>
      </c>
      <c r="N76" s="294">
        <v>910000</v>
      </c>
      <c r="O76" s="246"/>
      <c r="P76" s="294"/>
      <c r="Q76" s="246"/>
      <c r="R76" s="294"/>
      <c r="S76" s="246"/>
      <c r="T76" s="294"/>
      <c r="U76" s="246"/>
      <c r="V76" s="294"/>
      <c r="W76" s="246"/>
      <c r="X76" s="294"/>
      <c r="Y76" s="7"/>
    </row>
    <row r="77" spans="2:25" ht="18" customHeight="1" thickBot="1" x14ac:dyDescent="0.3">
      <c r="B77" s="538"/>
      <c r="C77" s="542"/>
      <c r="D77" s="241" t="s">
        <v>135</v>
      </c>
      <c r="E77" s="260">
        <v>0</v>
      </c>
      <c r="F77" s="297"/>
      <c r="G77" s="260"/>
      <c r="H77" s="297"/>
      <c r="I77" s="260">
        <v>0</v>
      </c>
      <c r="J77" s="297"/>
      <c r="K77" s="260"/>
      <c r="L77" s="297"/>
      <c r="M77" s="260"/>
      <c r="N77" s="297"/>
      <c r="O77" s="260"/>
      <c r="P77" s="297"/>
      <c r="Q77" s="260"/>
      <c r="R77" s="297"/>
      <c r="S77" s="260"/>
      <c r="T77" s="297"/>
      <c r="U77" s="260"/>
      <c r="V77" s="297"/>
      <c r="W77" s="260"/>
      <c r="X77" s="297"/>
      <c r="Y77" s="7"/>
    </row>
    <row r="78" spans="2:25" ht="18" customHeight="1" x14ac:dyDescent="0.25">
      <c r="B78" s="534" t="s">
        <v>8</v>
      </c>
      <c r="C78" s="540"/>
      <c r="D78" s="79" t="s">
        <v>69</v>
      </c>
      <c r="E78" s="18"/>
      <c r="F78" s="284" t="s">
        <v>533</v>
      </c>
      <c r="G78" s="18" t="s">
        <v>533</v>
      </c>
      <c r="H78" s="284"/>
      <c r="I78" s="18" t="s">
        <v>534</v>
      </c>
      <c r="J78" s="284" t="s">
        <v>534</v>
      </c>
      <c r="K78" s="18" t="s">
        <v>533</v>
      </c>
      <c r="L78" s="284" t="s">
        <v>533</v>
      </c>
      <c r="M78" s="18" t="s">
        <v>533</v>
      </c>
      <c r="N78" s="284"/>
      <c r="O78" s="18"/>
      <c r="P78" s="284"/>
      <c r="Q78" s="18"/>
      <c r="R78" s="284"/>
      <c r="S78" s="18"/>
      <c r="T78" s="284"/>
      <c r="U78" s="18"/>
      <c r="V78" s="284"/>
      <c r="W78" s="18"/>
      <c r="X78" s="284"/>
      <c r="Y78" s="63"/>
    </row>
    <row r="79" spans="2:25" ht="18" customHeight="1" thickBot="1" x14ac:dyDescent="0.3">
      <c r="B79" s="536"/>
      <c r="C79" s="541"/>
      <c r="D79" s="24" t="s">
        <v>68</v>
      </c>
      <c r="E79" s="25"/>
      <c r="F79" s="26">
        <v>90</v>
      </c>
      <c r="G79" s="25">
        <v>90</v>
      </c>
      <c r="H79" s="26"/>
      <c r="I79" s="25">
        <v>86</v>
      </c>
      <c r="J79" s="26">
        <v>82</v>
      </c>
      <c r="K79" s="25">
        <v>90</v>
      </c>
      <c r="L79" s="26">
        <v>90</v>
      </c>
      <c r="M79" s="25">
        <v>90</v>
      </c>
      <c r="N79" s="26"/>
      <c r="O79" s="25"/>
      <c r="P79" s="26"/>
      <c r="Q79" s="25"/>
      <c r="R79" s="26"/>
      <c r="S79" s="25"/>
      <c r="T79" s="26"/>
      <c r="U79" s="25"/>
      <c r="V79" s="26"/>
      <c r="W79" s="25"/>
      <c r="X79" s="26"/>
      <c r="Y79" s="63"/>
    </row>
    <row r="80" spans="2:25" ht="18" customHeight="1" x14ac:dyDescent="0.25">
      <c r="B80" s="534" t="s">
        <v>24</v>
      </c>
      <c r="C80" s="540"/>
      <c r="D80" s="275" t="s">
        <v>58</v>
      </c>
      <c r="E80" s="276" t="s">
        <v>562</v>
      </c>
      <c r="F80" s="298" t="s">
        <v>562</v>
      </c>
      <c r="G80" s="276" t="s">
        <v>562</v>
      </c>
      <c r="H80" s="298" t="s">
        <v>562</v>
      </c>
      <c r="I80" s="276" t="s">
        <v>562</v>
      </c>
      <c r="J80" s="298" t="s">
        <v>562</v>
      </c>
      <c r="K80" s="276" t="s">
        <v>561</v>
      </c>
      <c r="L80" s="298" t="s">
        <v>561</v>
      </c>
      <c r="M80" s="276" t="s">
        <v>562</v>
      </c>
      <c r="N80" s="298" t="s">
        <v>548</v>
      </c>
      <c r="O80" s="276" t="s">
        <v>562</v>
      </c>
      <c r="P80" s="298" t="s">
        <v>562</v>
      </c>
      <c r="Q80" s="276" t="s">
        <v>561</v>
      </c>
      <c r="R80" s="298" t="s">
        <v>546</v>
      </c>
      <c r="S80" s="276"/>
      <c r="T80" s="298"/>
      <c r="U80" s="276"/>
      <c r="V80" s="298"/>
      <c r="W80" s="276"/>
      <c r="X80" s="298"/>
      <c r="Y80" s="7"/>
    </row>
    <row r="81" spans="2:25" ht="18" customHeight="1" x14ac:dyDescent="0.25">
      <c r="B81" s="536"/>
      <c r="C81" s="541"/>
      <c r="D81" s="277" t="s">
        <v>136</v>
      </c>
      <c r="E81" s="278">
        <f>COUNT(E86,E99,E112,E126)</f>
        <v>0</v>
      </c>
      <c r="F81" s="299">
        <f t="shared" ref="F81:X81" si="30">COUNT(F86,F99,F112,F126)</f>
        <v>1</v>
      </c>
      <c r="G81" s="278">
        <f t="shared" si="30"/>
        <v>1</v>
      </c>
      <c r="H81" s="299">
        <f t="shared" si="30"/>
        <v>0</v>
      </c>
      <c r="I81" s="278">
        <f t="shared" si="30"/>
        <v>1</v>
      </c>
      <c r="J81" s="299">
        <f t="shared" si="30"/>
        <v>1</v>
      </c>
      <c r="K81" s="278">
        <f t="shared" si="30"/>
        <v>1</v>
      </c>
      <c r="L81" s="299">
        <f t="shared" si="30"/>
        <v>1</v>
      </c>
      <c r="M81" s="278">
        <f t="shared" si="30"/>
        <v>1</v>
      </c>
      <c r="N81" s="299">
        <f t="shared" si="30"/>
        <v>0</v>
      </c>
      <c r="O81" s="278">
        <f t="shared" si="30"/>
        <v>0</v>
      </c>
      <c r="P81" s="299">
        <f t="shared" si="30"/>
        <v>0</v>
      </c>
      <c r="Q81" s="278">
        <f t="shared" si="30"/>
        <v>0</v>
      </c>
      <c r="R81" s="299">
        <f t="shared" si="30"/>
        <v>1</v>
      </c>
      <c r="S81" s="278">
        <f t="shared" si="30"/>
        <v>0</v>
      </c>
      <c r="T81" s="299">
        <f t="shared" si="30"/>
        <v>0</v>
      </c>
      <c r="U81" s="278">
        <f t="shared" si="30"/>
        <v>0</v>
      </c>
      <c r="V81" s="299">
        <f t="shared" si="30"/>
        <v>0</v>
      </c>
      <c r="W81" s="278">
        <f t="shared" si="30"/>
        <v>0</v>
      </c>
      <c r="X81" s="299">
        <f t="shared" si="30"/>
        <v>0</v>
      </c>
      <c r="Y81" s="7"/>
    </row>
    <row r="82" spans="2:25" ht="18" customHeight="1" thickBot="1" x14ac:dyDescent="0.3">
      <c r="B82" s="536"/>
      <c r="C82" s="541"/>
      <c r="D82" s="279" t="s">
        <v>137</v>
      </c>
      <c r="E82" s="280">
        <f>E86+E99+E112+E126</f>
        <v>0</v>
      </c>
      <c r="F82" s="300">
        <f t="shared" ref="F82:X82" si="31">F86+F99+F112+F126</f>
        <v>210000000</v>
      </c>
      <c r="G82" s="280">
        <f t="shared" si="31"/>
        <v>225000000</v>
      </c>
      <c r="H82" s="300">
        <f t="shared" si="31"/>
        <v>0</v>
      </c>
      <c r="I82" s="280">
        <f t="shared" si="31"/>
        <v>200000000</v>
      </c>
      <c r="J82" s="300">
        <f t="shared" si="31"/>
        <v>185000000</v>
      </c>
      <c r="K82" s="280">
        <f t="shared" si="31"/>
        <v>240000000</v>
      </c>
      <c r="L82" s="300">
        <f t="shared" si="31"/>
        <v>240000000</v>
      </c>
      <c r="M82" s="280">
        <f t="shared" si="31"/>
        <v>235000000</v>
      </c>
      <c r="N82" s="300">
        <f t="shared" si="31"/>
        <v>0</v>
      </c>
      <c r="O82" s="280">
        <f t="shared" si="31"/>
        <v>0</v>
      </c>
      <c r="P82" s="300">
        <f t="shared" si="31"/>
        <v>0</v>
      </c>
      <c r="Q82" s="280">
        <f t="shared" si="31"/>
        <v>0</v>
      </c>
      <c r="R82" s="300">
        <f t="shared" si="31"/>
        <v>210000000</v>
      </c>
      <c r="S82" s="280">
        <f t="shared" si="31"/>
        <v>0</v>
      </c>
      <c r="T82" s="300">
        <f t="shared" si="31"/>
        <v>0</v>
      </c>
      <c r="U82" s="280">
        <f t="shared" si="31"/>
        <v>0</v>
      </c>
      <c r="V82" s="300">
        <f t="shared" si="31"/>
        <v>0</v>
      </c>
      <c r="W82" s="280">
        <f t="shared" si="31"/>
        <v>0</v>
      </c>
      <c r="X82" s="300">
        <f t="shared" si="31"/>
        <v>0</v>
      </c>
      <c r="Y82" s="7"/>
    </row>
    <row r="83" spans="2:25" ht="18" customHeight="1" x14ac:dyDescent="0.25">
      <c r="B83" s="536"/>
      <c r="C83" s="541"/>
      <c r="D83" s="79" t="s">
        <v>291</v>
      </c>
      <c r="E83" s="251"/>
      <c r="F83" s="251" t="s">
        <v>551</v>
      </c>
      <c r="G83" s="251" t="s">
        <v>551</v>
      </c>
      <c r="H83" s="251"/>
      <c r="I83" s="251" t="s">
        <v>552</v>
      </c>
      <c r="J83" s="251" t="s">
        <v>552</v>
      </c>
      <c r="K83" s="251" t="s">
        <v>553</v>
      </c>
      <c r="L83" s="251" t="s">
        <v>553</v>
      </c>
      <c r="M83" s="251" t="s">
        <v>551</v>
      </c>
      <c r="N83" s="251"/>
      <c r="O83" s="251"/>
      <c r="P83" s="251"/>
      <c r="Q83" s="251"/>
      <c r="R83" s="251" t="s">
        <v>552</v>
      </c>
      <c r="S83" s="251"/>
      <c r="T83" s="251"/>
      <c r="U83" s="251"/>
      <c r="V83" s="251"/>
      <c r="W83" s="251"/>
      <c r="X83" s="251"/>
      <c r="Y83" s="7"/>
    </row>
    <row r="84" spans="2:25" ht="18" customHeight="1" x14ac:dyDescent="0.25">
      <c r="B84" s="536"/>
      <c r="C84" s="541"/>
      <c r="D84" s="19" t="s">
        <v>292</v>
      </c>
      <c r="E84" s="251"/>
      <c r="F84" s="251">
        <v>77</v>
      </c>
      <c r="G84" s="251">
        <v>75</v>
      </c>
      <c r="H84" s="251"/>
      <c r="I84" s="251">
        <v>78</v>
      </c>
      <c r="J84" s="251">
        <v>69</v>
      </c>
      <c r="K84" s="251">
        <v>78</v>
      </c>
      <c r="L84" s="251">
        <v>81</v>
      </c>
      <c r="M84" s="251">
        <v>75</v>
      </c>
      <c r="N84" s="251"/>
      <c r="O84" s="251"/>
      <c r="P84" s="251"/>
      <c r="Q84" s="251"/>
      <c r="R84" s="251">
        <v>73</v>
      </c>
      <c r="S84" s="251"/>
      <c r="T84" s="251"/>
      <c r="U84" s="251"/>
      <c r="V84" s="251"/>
      <c r="W84" s="251"/>
      <c r="X84" s="251"/>
      <c r="Y84" s="7"/>
    </row>
    <row r="85" spans="2:25" ht="18" customHeight="1" x14ac:dyDescent="0.25">
      <c r="B85" s="536"/>
      <c r="C85" s="541"/>
      <c r="D85" s="19" t="s">
        <v>138</v>
      </c>
      <c r="E85" s="251"/>
      <c r="F85" s="301">
        <v>11</v>
      </c>
      <c r="G85" s="251">
        <v>11</v>
      </c>
      <c r="H85" s="301"/>
      <c r="I85" s="251"/>
      <c r="J85" s="301"/>
      <c r="K85" s="251">
        <v>12</v>
      </c>
      <c r="L85" s="301">
        <v>12</v>
      </c>
      <c r="M85" s="251">
        <v>11</v>
      </c>
      <c r="N85" s="301"/>
      <c r="O85" s="251"/>
      <c r="P85" s="301"/>
      <c r="Q85" s="251"/>
      <c r="R85" s="301"/>
      <c r="S85" s="251"/>
      <c r="T85" s="301"/>
      <c r="U85" s="251"/>
      <c r="V85" s="301"/>
      <c r="W85" s="251"/>
      <c r="X85" s="301"/>
      <c r="Y85" s="7"/>
    </row>
    <row r="86" spans="2:25" ht="18" customHeight="1" x14ac:dyDescent="0.25">
      <c r="B86" s="536"/>
      <c r="C86" s="541"/>
      <c r="D86" s="19" t="s">
        <v>35</v>
      </c>
      <c r="E86" s="251"/>
      <c r="F86" s="301">
        <v>210000000</v>
      </c>
      <c r="G86" s="251">
        <v>225000000</v>
      </c>
      <c r="H86" s="301"/>
      <c r="I86" s="251">
        <v>200000000</v>
      </c>
      <c r="J86" s="301">
        <v>185000000</v>
      </c>
      <c r="K86" s="251">
        <v>240000000</v>
      </c>
      <c r="L86" s="301">
        <v>240000000</v>
      </c>
      <c r="M86" s="251">
        <v>235000000</v>
      </c>
      <c r="N86" s="301"/>
      <c r="O86" s="251"/>
      <c r="P86" s="301"/>
      <c r="Q86" s="251"/>
      <c r="R86" s="301">
        <v>210000000</v>
      </c>
      <c r="S86" s="251"/>
      <c r="T86" s="301"/>
      <c r="U86" s="251"/>
      <c r="V86" s="301"/>
      <c r="W86" s="251"/>
      <c r="X86" s="301"/>
      <c r="Y86" s="7"/>
    </row>
    <row r="87" spans="2:25" ht="18" customHeight="1" x14ac:dyDescent="0.25">
      <c r="B87" s="536"/>
      <c r="C87" s="541"/>
      <c r="D87" s="19" t="s">
        <v>139</v>
      </c>
      <c r="E87" s="251"/>
      <c r="F87" s="301">
        <v>12</v>
      </c>
      <c r="G87" s="251">
        <v>12</v>
      </c>
      <c r="H87" s="301"/>
      <c r="I87" s="251"/>
      <c r="J87" s="301"/>
      <c r="K87" s="251">
        <v>12</v>
      </c>
      <c r="L87" s="301">
        <v>12</v>
      </c>
      <c r="M87" s="251">
        <v>12</v>
      </c>
      <c r="N87" s="301"/>
      <c r="O87" s="251"/>
      <c r="P87" s="301"/>
      <c r="Q87" s="251"/>
      <c r="R87" s="301"/>
      <c r="S87" s="251"/>
      <c r="T87" s="301"/>
      <c r="U87" s="251"/>
      <c r="V87" s="301"/>
      <c r="W87" s="251"/>
      <c r="X87" s="301"/>
      <c r="Y87" s="7"/>
    </row>
    <row r="88" spans="2:25" ht="18" customHeight="1" x14ac:dyDescent="0.25">
      <c r="B88" s="536"/>
      <c r="C88" s="541"/>
      <c r="D88" s="19" t="s">
        <v>140</v>
      </c>
      <c r="E88" s="251"/>
      <c r="F88" s="301" t="s">
        <v>535</v>
      </c>
      <c r="G88" s="251" t="s">
        <v>535</v>
      </c>
      <c r="H88" s="301"/>
      <c r="I88" s="251"/>
      <c r="J88" s="301"/>
      <c r="K88" s="251" t="s">
        <v>536</v>
      </c>
      <c r="L88" s="301" t="s">
        <v>536</v>
      </c>
      <c r="M88" s="251" t="s">
        <v>537</v>
      </c>
      <c r="N88" s="301"/>
      <c r="O88" s="251"/>
      <c r="P88" s="301"/>
      <c r="Q88" s="251"/>
      <c r="R88" s="301"/>
      <c r="S88" s="251"/>
      <c r="T88" s="301"/>
      <c r="U88" s="251"/>
      <c r="V88" s="301"/>
      <c r="W88" s="251"/>
      <c r="X88" s="301"/>
      <c r="Y88" s="7"/>
    </row>
    <row r="89" spans="2:25" ht="18" customHeight="1" x14ac:dyDescent="0.25">
      <c r="B89" s="536"/>
      <c r="C89" s="541"/>
      <c r="D89" s="19" t="s">
        <v>141</v>
      </c>
      <c r="E89" s="251"/>
      <c r="F89" s="301">
        <v>20</v>
      </c>
      <c r="G89" s="251">
        <v>20</v>
      </c>
      <c r="H89" s="301"/>
      <c r="I89" s="251"/>
      <c r="J89" s="301"/>
      <c r="K89" s="251">
        <v>20</v>
      </c>
      <c r="L89" s="301">
        <v>20</v>
      </c>
      <c r="M89" s="251">
        <v>20</v>
      </c>
      <c r="N89" s="301"/>
      <c r="O89" s="251"/>
      <c r="P89" s="301"/>
      <c r="Q89" s="251"/>
      <c r="R89" s="301"/>
      <c r="S89" s="251"/>
      <c r="T89" s="301"/>
      <c r="U89" s="251"/>
      <c r="V89" s="301"/>
      <c r="W89" s="251"/>
      <c r="X89" s="301"/>
      <c r="Y89" s="7"/>
    </row>
    <row r="90" spans="2:25" ht="18" customHeight="1" x14ac:dyDescent="0.25">
      <c r="B90" s="536"/>
      <c r="C90" s="541"/>
      <c r="D90" s="19" t="s">
        <v>142</v>
      </c>
      <c r="E90" s="251"/>
      <c r="F90" s="301"/>
      <c r="G90" s="251"/>
      <c r="H90" s="301"/>
      <c r="I90" s="251"/>
      <c r="J90" s="301"/>
      <c r="K90" s="251"/>
      <c r="L90" s="301"/>
      <c r="M90" s="251"/>
      <c r="N90" s="301"/>
      <c r="O90" s="251"/>
      <c r="P90" s="301"/>
      <c r="Q90" s="251"/>
      <c r="R90" s="301"/>
      <c r="S90" s="251"/>
      <c r="T90" s="301"/>
      <c r="U90" s="251"/>
      <c r="V90" s="301"/>
      <c r="W90" s="251"/>
      <c r="X90" s="301"/>
      <c r="Y90" s="7"/>
    </row>
    <row r="91" spans="2:25" ht="18" customHeight="1" x14ac:dyDescent="0.25">
      <c r="B91" s="536"/>
      <c r="C91" s="541"/>
      <c r="D91" s="19" t="s">
        <v>41</v>
      </c>
      <c r="E91" s="251"/>
      <c r="F91" s="301">
        <v>16</v>
      </c>
      <c r="G91" s="251">
        <v>16</v>
      </c>
      <c r="H91" s="301"/>
      <c r="I91" s="251">
        <v>15</v>
      </c>
      <c r="J91" s="301">
        <v>14</v>
      </c>
      <c r="K91" s="251">
        <v>17</v>
      </c>
      <c r="L91" s="301">
        <v>17</v>
      </c>
      <c r="M91" s="251">
        <v>16</v>
      </c>
      <c r="N91" s="301"/>
      <c r="O91" s="251"/>
      <c r="P91" s="301"/>
      <c r="Q91" s="251"/>
      <c r="R91" s="301">
        <v>16</v>
      </c>
      <c r="S91" s="251"/>
      <c r="T91" s="301"/>
      <c r="U91" s="251"/>
      <c r="V91" s="301"/>
      <c r="W91" s="251"/>
      <c r="X91" s="301"/>
      <c r="Y91" s="7"/>
    </row>
    <row r="92" spans="2:25" ht="18" customHeight="1" x14ac:dyDescent="0.25">
      <c r="B92" s="536"/>
      <c r="C92" s="541"/>
      <c r="D92" s="19" t="s">
        <v>143</v>
      </c>
      <c r="E92" s="251"/>
      <c r="F92" s="301"/>
      <c r="G92" s="251"/>
      <c r="H92" s="301"/>
      <c r="I92" s="251"/>
      <c r="J92" s="301"/>
      <c r="K92" s="251"/>
      <c r="L92" s="301"/>
      <c r="M92" s="251"/>
      <c r="N92" s="301"/>
      <c r="O92" s="251"/>
      <c r="P92" s="301"/>
      <c r="Q92" s="251"/>
      <c r="R92" s="301"/>
      <c r="S92" s="251"/>
      <c r="T92" s="301"/>
      <c r="U92" s="251"/>
      <c r="V92" s="301"/>
      <c r="W92" s="251"/>
      <c r="X92" s="301"/>
      <c r="Y92" s="7"/>
    </row>
    <row r="93" spans="2:25" ht="18" customHeight="1" x14ac:dyDescent="0.25">
      <c r="B93" s="536"/>
      <c r="C93" s="541"/>
      <c r="D93" s="19" t="s">
        <v>144</v>
      </c>
      <c r="E93" s="251"/>
      <c r="F93" s="301"/>
      <c r="G93" s="251"/>
      <c r="H93" s="301"/>
      <c r="I93" s="251"/>
      <c r="J93" s="301"/>
      <c r="K93" s="251"/>
      <c r="L93" s="301"/>
      <c r="M93" s="251"/>
      <c r="N93" s="301"/>
      <c r="O93" s="251"/>
      <c r="P93" s="301"/>
      <c r="Q93" s="251"/>
      <c r="R93" s="301"/>
      <c r="S93" s="251"/>
      <c r="T93" s="301"/>
      <c r="U93" s="251"/>
      <c r="V93" s="301"/>
      <c r="W93" s="251"/>
      <c r="X93" s="301"/>
      <c r="Y93" s="7"/>
    </row>
    <row r="94" spans="2:25" ht="18" customHeight="1" x14ac:dyDescent="0.25">
      <c r="B94" s="536"/>
      <c r="C94" s="541"/>
      <c r="D94" s="19" t="s">
        <v>145</v>
      </c>
      <c r="E94" s="261"/>
      <c r="F94" s="302"/>
      <c r="G94" s="261"/>
      <c r="H94" s="302"/>
      <c r="I94" s="261"/>
      <c r="J94" s="302"/>
      <c r="K94" s="261"/>
      <c r="L94" s="302"/>
      <c r="M94" s="261"/>
      <c r="N94" s="302"/>
      <c r="O94" s="261"/>
      <c r="P94" s="302"/>
      <c r="Q94" s="261"/>
      <c r="R94" s="302"/>
      <c r="S94" s="261"/>
      <c r="T94" s="302"/>
      <c r="U94" s="261"/>
      <c r="V94" s="302"/>
      <c r="W94" s="261"/>
      <c r="X94" s="302"/>
      <c r="Y94" s="7"/>
    </row>
    <row r="95" spans="2:25" ht="18" customHeight="1" thickBot="1" x14ac:dyDescent="0.3">
      <c r="B95" s="536"/>
      <c r="C95" s="541"/>
      <c r="D95" s="24" t="s">
        <v>146</v>
      </c>
      <c r="E95" s="262" t="e">
        <f>E86/E91</f>
        <v>#DIV/0!</v>
      </c>
      <c r="F95" s="303">
        <f t="shared" ref="F95:X95" si="32">F86/F91</f>
        <v>13125000</v>
      </c>
      <c r="G95" s="262">
        <f t="shared" si="32"/>
        <v>14062500</v>
      </c>
      <c r="H95" s="303" t="e">
        <f t="shared" si="32"/>
        <v>#DIV/0!</v>
      </c>
      <c r="I95" s="262">
        <f t="shared" si="32"/>
        <v>13333333.333333334</v>
      </c>
      <c r="J95" s="303">
        <f t="shared" si="32"/>
        <v>13214285.714285715</v>
      </c>
      <c r="K95" s="262">
        <f t="shared" si="32"/>
        <v>14117647.05882353</v>
      </c>
      <c r="L95" s="303">
        <f t="shared" si="32"/>
        <v>14117647.05882353</v>
      </c>
      <c r="M95" s="262">
        <f t="shared" si="32"/>
        <v>14687500</v>
      </c>
      <c r="N95" s="303" t="e">
        <f t="shared" si="32"/>
        <v>#DIV/0!</v>
      </c>
      <c r="O95" s="262" t="e">
        <f t="shared" si="32"/>
        <v>#DIV/0!</v>
      </c>
      <c r="P95" s="303" t="e">
        <f t="shared" si="32"/>
        <v>#DIV/0!</v>
      </c>
      <c r="Q95" s="262" t="e">
        <f t="shared" si="32"/>
        <v>#DIV/0!</v>
      </c>
      <c r="R95" s="303">
        <f t="shared" si="32"/>
        <v>13125000</v>
      </c>
      <c r="S95" s="262" t="e">
        <f t="shared" si="32"/>
        <v>#DIV/0!</v>
      </c>
      <c r="T95" s="303" t="e">
        <f t="shared" si="32"/>
        <v>#DIV/0!</v>
      </c>
      <c r="U95" s="262" t="e">
        <f t="shared" si="32"/>
        <v>#DIV/0!</v>
      </c>
      <c r="V95" s="303" t="e">
        <f t="shared" si="32"/>
        <v>#DIV/0!</v>
      </c>
      <c r="W95" s="262" t="e">
        <f t="shared" si="32"/>
        <v>#DIV/0!</v>
      </c>
      <c r="X95" s="303" t="e">
        <f t="shared" si="32"/>
        <v>#DIV/0!</v>
      </c>
      <c r="Y95" s="7"/>
    </row>
    <row r="96" spans="2:25" ht="18" customHeight="1" x14ac:dyDescent="0.25">
      <c r="B96" s="536"/>
      <c r="C96" s="541"/>
      <c r="D96" s="263" t="s">
        <v>293</v>
      </c>
      <c r="E96" s="265"/>
      <c r="F96" s="265"/>
      <c r="G96" s="265"/>
      <c r="H96" s="265"/>
      <c r="I96" s="265"/>
      <c r="J96" s="265"/>
      <c r="K96" s="265"/>
      <c r="L96" s="265"/>
      <c r="M96" s="265"/>
      <c r="N96" s="265"/>
      <c r="O96" s="265"/>
      <c r="P96" s="265"/>
      <c r="Q96" s="265"/>
      <c r="R96" s="265"/>
      <c r="S96" s="265"/>
      <c r="T96" s="265"/>
      <c r="U96" s="265"/>
      <c r="V96" s="265"/>
      <c r="W96" s="265"/>
      <c r="X96" s="265"/>
      <c r="Y96" s="7"/>
    </row>
    <row r="97" spans="2:25" ht="18" customHeight="1" x14ac:dyDescent="0.25">
      <c r="B97" s="536"/>
      <c r="C97" s="541"/>
      <c r="D97" s="264" t="s">
        <v>294</v>
      </c>
      <c r="E97" s="265"/>
      <c r="F97" s="265"/>
      <c r="G97" s="265"/>
      <c r="H97" s="265"/>
      <c r="I97" s="265"/>
      <c r="J97" s="265"/>
      <c r="K97" s="265"/>
      <c r="L97" s="265"/>
      <c r="M97" s="265"/>
      <c r="N97" s="265"/>
      <c r="O97" s="265"/>
      <c r="P97" s="265"/>
      <c r="Q97" s="265"/>
      <c r="R97" s="265"/>
      <c r="S97" s="265"/>
      <c r="T97" s="265"/>
      <c r="U97" s="265"/>
      <c r="V97" s="265"/>
      <c r="W97" s="265"/>
      <c r="X97" s="265"/>
      <c r="Y97" s="7"/>
    </row>
    <row r="98" spans="2:25" ht="18" customHeight="1" x14ac:dyDescent="0.25">
      <c r="B98" s="536"/>
      <c r="C98" s="541"/>
      <c r="D98" s="264" t="s">
        <v>147</v>
      </c>
      <c r="E98" s="265"/>
      <c r="F98" s="304"/>
      <c r="G98" s="265"/>
      <c r="H98" s="304"/>
      <c r="I98" s="265"/>
      <c r="J98" s="304"/>
      <c r="K98" s="265"/>
      <c r="L98" s="304"/>
      <c r="M98" s="265"/>
      <c r="N98" s="304"/>
      <c r="O98" s="265"/>
      <c r="P98" s="304"/>
      <c r="Q98" s="265"/>
      <c r="R98" s="304"/>
      <c r="S98" s="265"/>
      <c r="T98" s="304"/>
      <c r="U98" s="265"/>
      <c r="V98" s="304"/>
      <c r="W98" s="265"/>
      <c r="X98" s="304"/>
      <c r="Y98" s="7"/>
    </row>
    <row r="99" spans="2:25" ht="18" customHeight="1" x14ac:dyDescent="0.25">
      <c r="B99" s="536"/>
      <c r="C99" s="541"/>
      <c r="D99" s="264" t="s">
        <v>36</v>
      </c>
      <c r="E99" s="265"/>
      <c r="F99" s="304"/>
      <c r="G99" s="265"/>
      <c r="H99" s="304"/>
      <c r="I99" s="265"/>
      <c r="J99" s="304"/>
      <c r="K99" s="265"/>
      <c r="L99" s="304"/>
      <c r="M99" s="265"/>
      <c r="N99" s="304"/>
      <c r="O99" s="265"/>
      <c r="P99" s="304"/>
      <c r="Q99" s="265"/>
      <c r="R99" s="304"/>
      <c r="S99" s="265"/>
      <c r="T99" s="304"/>
      <c r="U99" s="265"/>
      <c r="V99" s="304"/>
      <c r="W99" s="265"/>
      <c r="X99" s="304"/>
      <c r="Y99" s="7"/>
    </row>
    <row r="100" spans="2:25" ht="18" customHeight="1" x14ac:dyDescent="0.25">
      <c r="B100" s="536"/>
      <c r="C100" s="541"/>
      <c r="D100" s="264" t="s">
        <v>148</v>
      </c>
      <c r="E100" s="265"/>
      <c r="F100" s="304"/>
      <c r="G100" s="265"/>
      <c r="H100" s="304"/>
      <c r="I100" s="265"/>
      <c r="J100" s="304"/>
      <c r="K100" s="265"/>
      <c r="L100" s="304"/>
      <c r="M100" s="265"/>
      <c r="N100" s="304"/>
      <c r="O100" s="265"/>
      <c r="P100" s="304"/>
      <c r="Q100" s="265"/>
      <c r="R100" s="304"/>
      <c r="S100" s="265"/>
      <c r="T100" s="304"/>
      <c r="U100" s="265"/>
      <c r="V100" s="304"/>
      <c r="W100" s="265"/>
      <c r="X100" s="304"/>
      <c r="Y100" s="7"/>
    </row>
    <row r="101" spans="2:25" ht="18" customHeight="1" x14ac:dyDescent="0.25">
      <c r="B101" s="536"/>
      <c r="C101" s="541"/>
      <c r="D101" s="264" t="s">
        <v>149</v>
      </c>
      <c r="E101" s="265"/>
      <c r="F101" s="304"/>
      <c r="G101" s="265"/>
      <c r="H101" s="304"/>
      <c r="I101" s="265"/>
      <c r="J101" s="304"/>
      <c r="K101" s="265"/>
      <c r="L101" s="304"/>
      <c r="M101" s="265"/>
      <c r="N101" s="304"/>
      <c r="O101" s="265"/>
      <c r="P101" s="304"/>
      <c r="Q101" s="265"/>
      <c r="R101" s="304"/>
      <c r="S101" s="265"/>
      <c r="T101" s="304"/>
      <c r="U101" s="265"/>
      <c r="V101" s="304"/>
      <c r="W101" s="265"/>
      <c r="X101" s="304"/>
      <c r="Y101" s="7"/>
    </row>
    <row r="102" spans="2:25" ht="18" customHeight="1" x14ac:dyDescent="0.25">
      <c r="B102" s="536"/>
      <c r="C102" s="541"/>
      <c r="D102" s="264" t="s">
        <v>150</v>
      </c>
      <c r="E102" s="265"/>
      <c r="F102" s="304"/>
      <c r="G102" s="265"/>
      <c r="H102" s="304"/>
      <c r="I102" s="265"/>
      <c r="J102" s="304"/>
      <c r="K102" s="265"/>
      <c r="L102" s="304"/>
      <c r="M102" s="265"/>
      <c r="N102" s="304"/>
      <c r="O102" s="265"/>
      <c r="P102" s="304"/>
      <c r="Q102" s="265"/>
      <c r="R102" s="304"/>
      <c r="S102" s="265"/>
      <c r="T102" s="304"/>
      <c r="U102" s="265"/>
      <c r="V102" s="304"/>
      <c r="W102" s="265"/>
      <c r="X102" s="304"/>
      <c r="Y102" s="7"/>
    </row>
    <row r="103" spans="2:25" ht="18" customHeight="1" x14ac:dyDescent="0.25">
      <c r="B103" s="536"/>
      <c r="C103" s="541"/>
      <c r="D103" s="264" t="s">
        <v>142</v>
      </c>
      <c r="E103" s="265"/>
      <c r="F103" s="304"/>
      <c r="G103" s="265"/>
      <c r="H103" s="304"/>
      <c r="I103" s="265"/>
      <c r="J103" s="304"/>
      <c r="K103" s="265"/>
      <c r="L103" s="304"/>
      <c r="M103" s="265"/>
      <c r="N103" s="304"/>
      <c r="O103" s="265"/>
      <c r="P103" s="304"/>
      <c r="Q103" s="265"/>
      <c r="R103" s="304"/>
      <c r="S103" s="265"/>
      <c r="T103" s="304"/>
      <c r="U103" s="265"/>
      <c r="V103" s="304"/>
      <c r="W103" s="265"/>
      <c r="X103" s="304"/>
      <c r="Y103" s="7"/>
    </row>
    <row r="104" spans="2:25" ht="18" customHeight="1" x14ac:dyDescent="0.25">
      <c r="B104" s="536"/>
      <c r="C104" s="541"/>
      <c r="D104" s="264" t="s">
        <v>42</v>
      </c>
      <c r="E104" s="265"/>
      <c r="F104" s="304"/>
      <c r="G104" s="265"/>
      <c r="H104" s="304"/>
      <c r="I104" s="265"/>
      <c r="J104" s="304"/>
      <c r="K104" s="265"/>
      <c r="L104" s="304"/>
      <c r="M104" s="265"/>
      <c r="N104" s="304"/>
      <c r="O104" s="265"/>
      <c r="P104" s="304"/>
      <c r="Q104" s="265"/>
      <c r="R104" s="304"/>
      <c r="S104" s="265"/>
      <c r="T104" s="304"/>
      <c r="U104" s="265"/>
      <c r="V104" s="304"/>
      <c r="W104" s="265"/>
      <c r="X104" s="304"/>
      <c r="Y104" s="7"/>
    </row>
    <row r="105" spans="2:25" ht="18" customHeight="1" x14ac:dyDescent="0.25">
      <c r="B105" s="536"/>
      <c r="C105" s="541"/>
      <c r="D105" s="264" t="s">
        <v>151</v>
      </c>
      <c r="E105" s="265"/>
      <c r="F105" s="304"/>
      <c r="G105" s="265"/>
      <c r="H105" s="304"/>
      <c r="I105" s="265"/>
      <c r="J105" s="304"/>
      <c r="K105" s="265"/>
      <c r="L105" s="304"/>
      <c r="M105" s="265"/>
      <c r="N105" s="304"/>
      <c r="O105" s="265"/>
      <c r="P105" s="304"/>
      <c r="Q105" s="265"/>
      <c r="R105" s="304"/>
      <c r="S105" s="265"/>
      <c r="T105" s="304"/>
      <c r="U105" s="265"/>
      <c r="V105" s="304"/>
      <c r="W105" s="265"/>
      <c r="X105" s="304"/>
      <c r="Y105" s="7"/>
    </row>
    <row r="106" spans="2:25" ht="18" customHeight="1" x14ac:dyDescent="0.25">
      <c r="B106" s="536"/>
      <c r="C106" s="541"/>
      <c r="D106" s="264" t="s">
        <v>152</v>
      </c>
      <c r="E106" s="265"/>
      <c r="F106" s="304"/>
      <c r="G106" s="265"/>
      <c r="H106" s="304"/>
      <c r="I106" s="265"/>
      <c r="J106" s="304"/>
      <c r="K106" s="265"/>
      <c r="L106" s="304"/>
      <c r="M106" s="265"/>
      <c r="N106" s="304"/>
      <c r="O106" s="265"/>
      <c r="P106" s="304"/>
      <c r="Q106" s="265"/>
      <c r="R106" s="304"/>
      <c r="S106" s="265"/>
      <c r="T106" s="304"/>
      <c r="U106" s="265"/>
      <c r="V106" s="304"/>
      <c r="W106" s="265"/>
      <c r="X106" s="304"/>
      <c r="Y106" s="7"/>
    </row>
    <row r="107" spans="2:25" ht="18" customHeight="1" x14ac:dyDescent="0.25">
      <c r="B107" s="536"/>
      <c r="C107" s="541"/>
      <c r="D107" s="264" t="s">
        <v>153</v>
      </c>
      <c r="E107" s="266"/>
      <c r="F107" s="305"/>
      <c r="G107" s="266"/>
      <c r="H107" s="305"/>
      <c r="I107" s="266"/>
      <c r="J107" s="305"/>
      <c r="K107" s="266"/>
      <c r="L107" s="305"/>
      <c r="M107" s="266"/>
      <c r="N107" s="305"/>
      <c r="O107" s="266"/>
      <c r="P107" s="305"/>
      <c r="Q107" s="266"/>
      <c r="R107" s="305"/>
      <c r="S107" s="266"/>
      <c r="T107" s="305"/>
      <c r="U107" s="266"/>
      <c r="V107" s="305"/>
      <c r="W107" s="266"/>
      <c r="X107" s="305"/>
      <c r="Y107" s="7"/>
    </row>
    <row r="108" spans="2:25" ht="18" customHeight="1" thickBot="1" x14ac:dyDescent="0.3">
      <c r="B108" s="536"/>
      <c r="C108" s="541"/>
      <c r="D108" s="267" t="s">
        <v>154</v>
      </c>
      <c r="E108" s="268" t="e">
        <f>E99/E104</f>
        <v>#DIV/0!</v>
      </c>
      <c r="F108" s="306" t="e">
        <f t="shared" ref="F108:X108" si="33">F99/F104</f>
        <v>#DIV/0!</v>
      </c>
      <c r="G108" s="268" t="e">
        <f t="shared" si="33"/>
        <v>#DIV/0!</v>
      </c>
      <c r="H108" s="306" t="e">
        <f t="shared" si="33"/>
        <v>#DIV/0!</v>
      </c>
      <c r="I108" s="268" t="e">
        <f t="shared" si="33"/>
        <v>#DIV/0!</v>
      </c>
      <c r="J108" s="306" t="e">
        <f t="shared" si="33"/>
        <v>#DIV/0!</v>
      </c>
      <c r="K108" s="268" t="e">
        <f t="shared" si="33"/>
        <v>#DIV/0!</v>
      </c>
      <c r="L108" s="306" t="e">
        <f t="shared" si="33"/>
        <v>#DIV/0!</v>
      </c>
      <c r="M108" s="268" t="e">
        <f t="shared" si="33"/>
        <v>#DIV/0!</v>
      </c>
      <c r="N108" s="306" t="e">
        <f t="shared" si="33"/>
        <v>#DIV/0!</v>
      </c>
      <c r="O108" s="268" t="e">
        <f t="shared" si="33"/>
        <v>#DIV/0!</v>
      </c>
      <c r="P108" s="306" t="e">
        <f t="shared" si="33"/>
        <v>#DIV/0!</v>
      </c>
      <c r="Q108" s="268" t="e">
        <f t="shared" si="33"/>
        <v>#DIV/0!</v>
      </c>
      <c r="R108" s="306" t="e">
        <f t="shared" si="33"/>
        <v>#DIV/0!</v>
      </c>
      <c r="S108" s="268" t="e">
        <f t="shared" si="33"/>
        <v>#DIV/0!</v>
      </c>
      <c r="T108" s="306" t="e">
        <f t="shared" si="33"/>
        <v>#DIV/0!</v>
      </c>
      <c r="U108" s="268" t="e">
        <f t="shared" si="33"/>
        <v>#DIV/0!</v>
      </c>
      <c r="V108" s="306" t="e">
        <f t="shared" si="33"/>
        <v>#DIV/0!</v>
      </c>
      <c r="W108" s="268" t="e">
        <f t="shared" si="33"/>
        <v>#DIV/0!</v>
      </c>
      <c r="X108" s="306" t="e">
        <f t="shared" si="33"/>
        <v>#DIV/0!</v>
      </c>
      <c r="Y108" s="7"/>
    </row>
    <row r="109" spans="2:25" ht="18" customHeight="1" x14ac:dyDescent="0.25">
      <c r="B109" s="536"/>
      <c r="C109" s="541"/>
      <c r="D109" s="269" t="s">
        <v>295</v>
      </c>
      <c r="E109" s="271"/>
      <c r="F109" s="271"/>
      <c r="G109" s="271"/>
      <c r="H109" s="271"/>
      <c r="I109" s="271"/>
      <c r="J109" s="271"/>
      <c r="K109" s="271"/>
      <c r="L109" s="271"/>
      <c r="M109" s="271"/>
      <c r="N109" s="271"/>
      <c r="O109" s="271"/>
      <c r="P109" s="271"/>
      <c r="Q109" s="271"/>
      <c r="R109" s="271"/>
      <c r="S109" s="271"/>
      <c r="T109" s="271"/>
      <c r="U109" s="271"/>
      <c r="V109" s="271"/>
      <c r="W109" s="271"/>
      <c r="X109" s="271"/>
      <c r="Y109" s="7"/>
    </row>
    <row r="110" spans="2:25" ht="18" customHeight="1" x14ac:dyDescent="0.25">
      <c r="B110" s="536"/>
      <c r="C110" s="541"/>
      <c r="D110" s="270" t="s">
        <v>296</v>
      </c>
      <c r="E110" s="271"/>
      <c r="F110" s="271"/>
      <c r="G110" s="271"/>
      <c r="H110" s="271"/>
      <c r="I110" s="271"/>
      <c r="J110" s="271"/>
      <c r="K110" s="271"/>
      <c r="L110" s="271"/>
      <c r="M110" s="271"/>
      <c r="N110" s="271"/>
      <c r="O110" s="271"/>
      <c r="P110" s="271"/>
      <c r="Q110" s="271"/>
      <c r="R110" s="271"/>
      <c r="S110" s="271"/>
      <c r="T110" s="271"/>
      <c r="U110" s="271"/>
      <c r="V110" s="271"/>
      <c r="W110" s="271"/>
      <c r="X110" s="271"/>
      <c r="Y110" s="7"/>
    </row>
    <row r="111" spans="2:25" ht="18" customHeight="1" x14ac:dyDescent="0.25">
      <c r="B111" s="536"/>
      <c r="C111" s="541"/>
      <c r="D111" s="270" t="s">
        <v>155</v>
      </c>
      <c r="E111" s="271"/>
      <c r="F111" s="307"/>
      <c r="G111" s="271"/>
      <c r="H111" s="307"/>
      <c r="I111" s="271"/>
      <c r="J111" s="307"/>
      <c r="K111" s="271"/>
      <c r="L111" s="307"/>
      <c r="M111" s="271"/>
      <c r="N111" s="307"/>
      <c r="O111" s="271"/>
      <c r="P111" s="307"/>
      <c r="Q111" s="271"/>
      <c r="R111" s="307"/>
      <c r="S111" s="271"/>
      <c r="T111" s="307"/>
      <c r="U111" s="271"/>
      <c r="V111" s="307"/>
      <c r="W111" s="271"/>
      <c r="X111" s="307"/>
      <c r="Y111" s="7"/>
    </row>
    <row r="112" spans="2:25" ht="18" customHeight="1" x14ac:dyDescent="0.25">
      <c r="B112" s="536"/>
      <c r="C112" s="541"/>
      <c r="D112" s="270" t="s">
        <v>37</v>
      </c>
      <c r="E112" s="271"/>
      <c r="F112" s="307"/>
      <c r="G112" s="271"/>
      <c r="H112" s="307"/>
      <c r="I112" s="271"/>
      <c r="J112" s="307"/>
      <c r="K112" s="271"/>
      <c r="L112" s="307"/>
      <c r="M112" s="271"/>
      <c r="N112" s="307"/>
      <c r="O112" s="271"/>
      <c r="P112" s="307"/>
      <c r="Q112" s="271"/>
      <c r="R112" s="307"/>
      <c r="S112" s="271"/>
      <c r="T112" s="307"/>
      <c r="U112" s="271"/>
      <c r="V112" s="307"/>
      <c r="W112" s="271"/>
      <c r="X112" s="307"/>
      <c r="Y112" s="7"/>
    </row>
    <row r="113" spans="2:25" ht="18" customHeight="1" x14ac:dyDescent="0.25">
      <c r="B113" s="536"/>
      <c r="C113" s="541"/>
      <c r="D113" s="270" t="s">
        <v>156</v>
      </c>
      <c r="E113" s="271"/>
      <c r="F113" s="307"/>
      <c r="G113" s="271"/>
      <c r="H113" s="307"/>
      <c r="I113" s="271"/>
      <c r="J113" s="307"/>
      <c r="K113" s="271"/>
      <c r="L113" s="307"/>
      <c r="M113" s="271"/>
      <c r="N113" s="307"/>
      <c r="O113" s="271"/>
      <c r="P113" s="307"/>
      <c r="Q113" s="271"/>
      <c r="R113" s="307"/>
      <c r="S113" s="271"/>
      <c r="T113" s="307"/>
      <c r="U113" s="271"/>
      <c r="V113" s="307"/>
      <c r="W113" s="271"/>
      <c r="X113" s="307"/>
      <c r="Y113" s="7"/>
    </row>
    <row r="114" spans="2:25" ht="18" customHeight="1" x14ac:dyDescent="0.25">
      <c r="B114" s="536"/>
      <c r="C114" s="541"/>
      <c r="D114" s="270" t="s">
        <v>157</v>
      </c>
      <c r="E114" s="271"/>
      <c r="F114" s="307"/>
      <c r="G114" s="271"/>
      <c r="H114" s="307"/>
      <c r="I114" s="271"/>
      <c r="J114" s="307"/>
      <c r="K114" s="271"/>
      <c r="L114" s="307"/>
      <c r="M114" s="271"/>
      <c r="N114" s="307"/>
      <c r="O114" s="271"/>
      <c r="P114" s="307"/>
      <c r="Q114" s="271"/>
      <c r="R114" s="307"/>
      <c r="S114" s="271"/>
      <c r="T114" s="307"/>
      <c r="U114" s="271"/>
      <c r="V114" s="307"/>
      <c r="W114" s="271"/>
      <c r="X114" s="307"/>
      <c r="Y114" s="7"/>
    </row>
    <row r="115" spans="2:25" ht="18" customHeight="1" x14ac:dyDescent="0.25">
      <c r="B115" s="536"/>
      <c r="C115" s="541"/>
      <c r="D115" s="270" t="s">
        <v>158</v>
      </c>
      <c r="E115" s="271"/>
      <c r="F115" s="307"/>
      <c r="G115" s="271"/>
      <c r="H115" s="307"/>
      <c r="I115" s="271"/>
      <c r="J115" s="307"/>
      <c r="K115" s="271"/>
      <c r="L115" s="307"/>
      <c r="M115" s="271"/>
      <c r="N115" s="307"/>
      <c r="O115" s="271"/>
      <c r="P115" s="307"/>
      <c r="Q115" s="271"/>
      <c r="R115" s="307"/>
      <c r="S115" s="271"/>
      <c r="T115" s="307"/>
      <c r="U115" s="271"/>
      <c r="V115" s="307"/>
      <c r="W115" s="271"/>
      <c r="X115" s="307"/>
      <c r="Y115" s="7"/>
    </row>
    <row r="116" spans="2:25" ht="18" customHeight="1" x14ac:dyDescent="0.25">
      <c r="B116" s="536"/>
      <c r="C116" s="541"/>
      <c r="D116" s="270" t="s">
        <v>142</v>
      </c>
      <c r="E116" s="271"/>
      <c r="F116" s="307"/>
      <c r="G116" s="271"/>
      <c r="H116" s="307"/>
      <c r="I116" s="271"/>
      <c r="J116" s="307"/>
      <c r="K116" s="271"/>
      <c r="L116" s="307"/>
      <c r="M116" s="271"/>
      <c r="N116" s="307"/>
      <c r="O116" s="271"/>
      <c r="P116" s="307"/>
      <c r="Q116" s="271"/>
      <c r="R116" s="307"/>
      <c r="S116" s="271"/>
      <c r="T116" s="307"/>
      <c r="U116" s="271"/>
      <c r="V116" s="307"/>
      <c r="W116" s="271"/>
      <c r="X116" s="307"/>
      <c r="Y116" s="7"/>
    </row>
    <row r="117" spans="2:25" ht="18" customHeight="1" x14ac:dyDescent="0.25">
      <c r="B117" s="536"/>
      <c r="C117" s="541"/>
      <c r="D117" s="270" t="s">
        <v>43</v>
      </c>
      <c r="E117" s="271"/>
      <c r="F117" s="307"/>
      <c r="G117" s="271"/>
      <c r="H117" s="307"/>
      <c r="I117" s="271"/>
      <c r="J117" s="307"/>
      <c r="K117" s="271"/>
      <c r="L117" s="307"/>
      <c r="M117" s="271"/>
      <c r="N117" s="307"/>
      <c r="O117" s="271"/>
      <c r="P117" s="307"/>
      <c r="Q117" s="271"/>
      <c r="R117" s="307"/>
      <c r="S117" s="271"/>
      <c r="T117" s="307"/>
      <c r="U117" s="271"/>
      <c r="V117" s="307"/>
      <c r="W117" s="271"/>
      <c r="X117" s="307"/>
      <c r="Y117" s="7"/>
    </row>
    <row r="118" spans="2:25" ht="18" customHeight="1" x14ac:dyDescent="0.25">
      <c r="B118" s="536"/>
      <c r="C118" s="541"/>
      <c r="D118" s="270" t="s">
        <v>159</v>
      </c>
      <c r="E118" s="271"/>
      <c r="F118" s="307"/>
      <c r="G118" s="271"/>
      <c r="H118" s="307"/>
      <c r="I118" s="271"/>
      <c r="J118" s="307"/>
      <c r="K118" s="271"/>
      <c r="L118" s="307"/>
      <c r="M118" s="271"/>
      <c r="N118" s="307"/>
      <c r="O118" s="271"/>
      <c r="P118" s="307"/>
      <c r="Q118" s="271"/>
      <c r="R118" s="307"/>
      <c r="S118" s="271"/>
      <c r="T118" s="307"/>
      <c r="U118" s="271"/>
      <c r="V118" s="307"/>
      <c r="W118" s="271"/>
      <c r="X118" s="307"/>
      <c r="Y118" s="7"/>
    </row>
    <row r="119" spans="2:25" ht="18" customHeight="1" x14ac:dyDescent="0.25">
      <c r="B119" s="536"/>
      <c r="C119" s="541"/>
      <c r="D119" s="270" t="s">
        <v>160</v>
      </c>
      <c r="E119" s="271"/>
      <c r="F119" s="307"/>
      <c r="G119" s="271"/>
      <c r="H119" s="307"/>
      <c r="I119" s="271"/>
      <c r="J119" s="307"/>
      <c r="K119" s="271"/>
      <c r="L119" s="307"/>
      <c r="M119" s="271"/>
      <c r="N119" s="307"/>
      <c r="O119" s="271"/>
      <c r="P119" s="307"/>
      <c r="Q119" s="271"/>
      <c r="R119" s="307"/>
      <c r="S119" s="271"/>
      <c r="T119" s="307"/>
      <c r="U119" s="271"/>
      <c r="V119" s="307"/>
      <c r="W119" s="271"/>
      <c r="X119" s="307"/>
      <c r="Y119" s="7"/>
    </row>
    <row r="120" spans="2:25" ht="18" customHeight="1" x14ac:dyDescent="0.25">
      <c r="B120" s="536"/>
      <c r="C120" s="541"/>
      <c r="D120" s="270" t="s">
        <v>161</v>
      </c>
      <c r="E120" s="272"/>
      <c r="F120" s="308"/>
      <c r="G120" s="272"/>
      <c r="H120" s="308"/>
      <c r="I120" s="272"/>
      <c r="J120" s="308"/>
      <c r="K120" s="272"/>
      <c r="L120" s="308"/>
      <c r="M120" s="272"/>
      <c r="N120" s="308"/>
      <c r="O120" s="272"/>
      <c r="P120" s="308"/>
      <c r="Q120" s="272"/>
      <c r="R120" s="308"/>
      <c r="S120" s="272"/>
      <c r="T120" s="308"/>
      <c r="U120" s="272"/>
      <c r="V120" s="308"/>
      <c r="W120" s="272"/>
      <c r="X120" s="308"/>
      <c r="Y120" s="7"/>
    </row>
    <row r="121" spans="2:25" ht="18" customHeight="1" thickBot="1" x14ac:dyDescent="0.3">
      <c r="B121" s="536"/>
      <c r="C121" s="541"/>
      <c r="D121" s="273" t="s">
        <v>162</v>
      </c>
      <c r="E121" s="274" t="e">
        <f>E112/E117</f>
        <v>#DIV/0!</v>
      </c>
      <c r="F121" s="309" t="e">
        <f t="shared" ref="F121:X121" si="34">F112/F117</f>
        <v>#DIV/0!</v>
      </c>
      <c r="G121" s="274" t="e">
        <f t="shared" si="34"/>
        <v>#DIV/0!</v>
      </c>
      <c r="H121" s="309" t="e">
        <f t="shared" si="34"/>
        <v>#DIV/0!</v>
      </c>
      <c r="I121" s="274" t="e">
        <f t="shared" si="34"/>
        <v>#DIV/0!</v>
      </c>
      <c r="J121" s="309" t="e">
        <f t="shared" si="34"/>
        <v>#DIV/0!</v>
      </c>
      <c r="K121" s="274" t="e">
        <f t="shared" si="34"/>
        <v>#DIV/0!</v>
      </c>
      <c r="L121" s="309" t="e">
        <f t="shared" si="34"/>
        <v>#DIV/0!</v>
      </c>
      <c r="M121" s="274" t="e">
        <f t="shared" si="34"/>
        <v>#DIV/0!</v>
      </c>
      <c r="N121" s="309" t="e">
        <f t="shared" si="34"/>
        <v>#DIV/0!</v>
      </c>
      <c r="O121" s="274" t="e">
        <f t="shared" si="34"/>
        <v>#DIV/0!</v>
      </c>
      <c r="P121" s="309" t="e">
        <f t="shared" si="34"/>
        <v>#DIV/0!</v>
      </c>
      <c r="Q121" s="274" t="e">
        <f t="shared" si="34"/>
        <v>#DIV/0!</v>
      </c>
      <c r="R121" s="309" t="e">
        <f t="shared" si="34"/>
        <v>#DIV/0!</v>
      </c>
      <c r="S121" s="274" t="e">
        <f t="shared" si="34"/>
        <v>#DIV/0!</v>
      </c>
      <c r="T121" s="309" t="e">
        <f t="shared" si="34"/>
        <v>#DIV/0!</v>
      </c>
      <c r="U121" s="274" t="e">
        <f t="shared" si="34"/>
        <v>#DIV/0!</v>
      </c>
      <c r="V121" s="309" t="e">
        <f t="shared" si="34"/>
        <v>#DIV/0!</v>
      </c>
      <c r="W121" s="274" t="e">
        <f t="shared" si="34"/>
        <v>#DIV/0!</v>
      </c>
      <c r="X121" s="309" t="e">
        <f t="shared" si="34"/>
        <v>#DIV/0!</v>
      </c>
      <c r="Y121" s="7"/>
    </row>
    <row r="122" spans="2:25" ht="18" customHeight="1" x14ac:dyDescent="0.25">
      <c r="B122" s="536"/>
      <c r="C122" s="541"/>
      <c r="D122" s="50" t="s">
        <v>297</v>
      </c>
      <c r="E122" s="84"/>
      <c r="F122" s="84"/>
      <c r="G122" s="84"/>
      <c r="H122" s="84"/>
      <c r="I122" s="84"/>
      <c r="J122" s="84"/>
      <c r="K122" s="84"/>
      <c r="L122" s="84"/>
      <c r="M122" s="84"/>
      <c r="N122" s="84"/>
      <c r="O122" s="84"/>
      <c r="P122" s="84"/>
      <c r="Q122" s="84"/>
      <c r="R122" s="84"/>
      <c r="S122" s="84"/>
      <c r="T122" s="84"/>
      <c r="U122" s="84"/>
      <c r="V122" s="84"/>
      <c r="W122" s="84"/>
      <c r="X122" s="84"/>
      <c r="Y122" s="7"/>
    </row>
    <row r="123" spans="2:25" ht="18" customHeight="1" x14ac:dyDescent="0.25">
      <c r="B123" s="536"/>
      <c r="C123" s="541"/>
      <c r="D123" s="48" t="s">
        <v>298</v>
      </c>
      <c r="E123" s="84"/>
      <c r="F123" s="84"/>
      <c r="G123" s="84"/>
      <c r="H123" s="84"/>
      <c r="I123" s="84"/>
      <c r="J123" s="84"/>
      <c r="K123" s="84"/>
      <c r="L123" s="84"/>
      <c r="M123" s="84"/>
      <c r="N123" s="84"/>
      <c r="O123" s="84"/>
      <c r="P123" s="84"/>
      <c r="Q123" s="84"/>
      <c r="R123" s="84"/>
      <c r="S123" s="84"/>
      <c r="T123" s="84"/>
      <c r="U123" s="84"/>
      <c r="V123" s="84"/>
      <c r="W123" s="84"/>
      <c r="X123" s="84"/>
      <c r="Y123" s="7"/>
    </row>
    <row r="124" spans="2:25" ht="18" customHeight="1" x14ac:dyDescent="0.25">
      <c r="B124" s="536"/>
      <c r="C124" s="541"/>
      <c r="D124" s="48" t="s">
        <v>163</v>
      </c>
      <c r="E124" s="84"/>
      <c r="F124" s="310"/>
      <c r="G124" s="84"/>
      <c r="H124" s="310"/>
      <c r="I124" s="84"/>
      <c r="J124" s="310"/>
      <c r="K124" s="84"/>
      <c r="L124" s="310"/>
      <c r="M124" s="84"/>
      <c r="N124" s="310"/>
      <c r="O124" s="84"/>
      <c r="P124" s="310"/>
      <c r="Q124" s="84"/>
      <c r="R124" s="310"/>
      <c r="S124" s="84"/>
      <c r="T124" s="310"/>
      <c r="U124" s="84"/>
      <c r="V124" s="310"/>
      <c r="W124" s="84"/>
      <c r="X124" s="310"/>
      <c r="Y124" s="7"/>
    </row>
    <row r="125" spans="2:25" ht="18" customHeight="1" x14ac:dyDescent="0.25">
      <c r="B125" s="536"/>
      <c r="C125" s="541"/>
      <c r="D125" s="48" t="s">
        <v>164</v>
      </c>
      <c r="E125" s="84"/>
      <c r="F125" s="310"/>
      <c r="G125" s="84"/>
      <c r="H125" s="310"/>
      <c r="I125" s="84"/>
      <c r="J125" s="310"/>
      <c r="K125" s="84"/>
      <c r="L125" s="310"/>
      <c r="M125" s="84"/>
      <c r="N125" s="310"/>
      <c r="O125" s="84"/>
      <c r="P125" s="310"/>
      <c r="Q125" s="84"/>
      <c r="R125" s="310"/>
      <c r="S125" s="84"/>
      <c r="T125" s="310"/>
      <c r="U125" s="84"/>
      <c r="V125" s="310"/>
      <c r="W125" s="84"/>
      <c r="X125" s="310"/>
      <c r="Y125" s="7"/>
    </row>
    <row r="126" spans="2:25" ht="18" customHeight="1" x14ac:dyDescent="0.25">
      <c r="B126" s="536"/>
      <c r="C126" s="541"/>
      <c r="D126" s="48" t="s">
        <v>165</v>
      </c>
      <c r="E126" s="84"/>
      <c r="F126" s="310"/>
      <c r="G126" s="84"/>
      <c r="H126" s="310"/>
      <c r="I126" s="84"/>
      <c r="J126" s="310"/>
      <c r="K126" s="84"/>
      <c r="L126" s="310"/>
      <c r="M126" s="84"/>
      <c r="N126" s="310"/>
      <c r="O126" s="84"/>
      <c r="P126" s="310"/>
      <c r="Q126" s="84"/>
      <c r="R126" s="310"/>
      <c r="S126" s="84"/>
      <c r="T126" s="310"/>
      <c r="U126" s="84"/>
      <c r="V126" s="310"/>
      <c r="W126" s="84"/>
      <c r="X126" s="310"/>
      <c r="Y126" s="7"/>
    </row>
    <row r="127" spans="2:25" ht="18" customHeight="1" x14ac:dyDescent="0.25">
      <c r="B127" s="536"/>
      <c r="C127" s="541"/>
      <c r="D127" s="48" t="s">
        <v>166</v>
      </c>
      <c r="E127" s="84"/>
      <c r="F127" s="310"/>
      <c r="G127" s="84"/>
      <c r="H127" s="310"/>
      <c r="I127" s="84"/>
      <c r="J127" s="310"/>
      <c r="K127" s="84"/>
      <c r="L127" s="310"/>
      <c r="M127" s="84"/>
      <c r="N127" s="310"/>
      <c r="O127" s="84"/>
      <c r="P127" s="310"/>
      <c r="Q127" s="84"/>
      <c r="R127" s="310"/>
      <c r="S127" s="84"/>
      <c r="T127" s="310"/>
      <c r="U127" s="84"/>
      <c r="V127" s="310"/>
      <c r="W127" s="84"/>
      <c r="X127" s="310"/>
      <c r="Y127" s="7"/>
    </row>
    <row r="128" spans="2:25" ht="18" customHeight="1" x14ac:dyDescent="0.25">
      <c r="B128" s="536"/>
      <c r="C128" s="541"/>
      <c r="D128" s="48" t="s">
        <v>167</v>
      </c>
      <c r="E128" s="84"/>
      <c r="F128" s="310"/>
      <c r="G128" s="84"/>
      <c r="H128" s="310"/>
      <c r="I128" s="84"/>
      <c r="J128" s="310"/>
      <c r="K128" s="84"/>
      <c r="L128" s="310"/>
      <c r="M128" s="84"/>
      <c r="N128" s="310"/>
      <c r="O128" s="84"/>
      <c r="P128" s="310"/>
      <c r="Q128" s="84"/>
      <c r="R128" s="310"/>
      <c r="S128" s="84"/>
      <c r="T128" s="310"/>
      <c r="U128" s="84"/>
      <c r="V128" s="310"/>
      <c r="W128" s="84"/>
      <c r="X128" s="310"/>
      <c r="Y128" s="7"/>
    </row>
    <row r="129" spans="2:25" ht="18" customHeight="1" x14ac:dyDescent="0.25">
      <c r="B129" s="536"/>
      <c r="C129" s="541"/>
      <c r="D129" s="48" t="s">
        <v>168</v>
      </c>
      <c r="E129" s="84"/>
      <c r="F129" s="310"/>
      <c r="G129" s="84"/>
      <c r="H129" s="310"/>
      <c r="I129" s="84"/>
      <c r="J129" s="310"/>
      <c r="K129" s="84"/>
      <c r="L129" s="310"/>
      <c r="M129" s="84"/>
      <c r="N129" s="310"/>
      <c r="O129" s="84"/>
      <c r="P129" s="310"/>
      <c r="Q129" s="84"/>
      <c r="R129" s="310"/>
      <c r="S129" s="84"/>
      <c r="T129" s="310"/>
      <c r="U129" s="84"/>
      <c r="V129" s="310"/>
      <c r="W129" s="84"/>
      <c r="X129" s="310"/>
      <c r="Y129" s="7"/>
    </row>
    <row r="130" spans="2:25" ht="15.75" customHeight="1" thickBot="1" x14ac:dyDescent="0.3">
      <c r="B130" s="538"/>
      <c r="C130" s="542"/>
      <c r="D130" s="49" t="s">
        <v>169</v>
      </c>
      <c r="E130" s="85"/>
      <c r="F130" s="311"/>
      <c r="G130" s="85"/>
      <c r="H130" s="311"/>
      <c r="I130" s="85"/>
      <c r="J130" s="311"/>
      <c r="K130" s="85"/>
      <c r="L130" s="311"/>
      <c r="M130" s="85"/>
      <c r="N130" s="311"/>
      <c r="O130" s="85"/>
      <c r="P130" s="311"/>
      <c r="Q130" s="85"/>
      <c r="R130" s="311"/>
      <c r="S130" s="85"/>
      <c r="T130" s="311"/>
      <c r="U130" s="85"/>
      <c r="V130" s="311"/>
      <c r="W130" s="85"/>
      <c r="X130" s="311"/>
      <c r="Y130" s="7"/>
    </row>
    <row r="131" spans="2:25" ht="18" customHeight="1" x14ac:dyDescent="0.25">
      <c r="B131" s="543" t="s">
        <v>170</v>
      </c>
      <c r="C131" s="544"/>
      <c r="D131" s="79" t="s">
        <v>171</v>
      </c>
      <c r="E131" s="86">
        <f t="shared" ref="E131:X131" si="35">E67+E82</f>
        <v>5000000</v>
      </c>
      <c r="F131" s="312">
        <f t="shared" si="35"/>
        <v>215000000</v>
      </c>
      <c r="G131" s="86">
        <f t="shared" si="35"/>
        <v>230000000</v>
      </c>
      <c r="H131" s="312">
        <f t="shared" si="35"/>
        <v>6000000</v>
      </c>
      <c r="I131" s="86">
        <f t="shared" si="35"/>
        <v>205000000</v>
      </c>
      <c r="J131" s="312">
        <f t="shared" si="35"/>
        <v>195000000</v>
      </c>
      <c r="K131" s="86">
        <f t="shared" si="35"/>
        <v>249000000</v>
      </c>
      <c r="L131" s="312">
        <f t="shared" si="35"/>
        <v>245000000</v>
      </c>
      <c r="M131" s="86">
        <f t="shared" si="35"/>
        <v>240000000</v>
      </c>
      <c r="N131" s="312">
        <f t="shared" si="35"/>
        <v>9000000</v>
      </c>
      <c r="O131" s="86">
        <f t="shared" si="35"/>
        <v>0</v>
      </c>
      <c r="P131" s="312">
        <f t="shared" si="35"/>
        <v>0</v>
      </c>
      <c r="Q131" s="86">
        <f t="shared" si="35"/>
        <v>0</v>
      </c>
      <c r="R131" s="312">
        <f t="shared" si="35"/>
        <v>210000000</v>
      </c>
      <c r="S131" s="86">
        <f t="shared" si="35"/>
        <v>0</v>
      </c>
      <c r="T131" s="312">
        <f t="shared" si="35"/>
        <v>0</v>
      </c>
      <c r="U131" s="86">
        <f t="shared" si="35"/>
        <v>0</v>
      </c>
      <c r="V131" s="312">
        <f t="shared" si="35"/>
        <v>0</v>
      </c>
      <c r="W131" s="86">
        <f t="shared" si="35"/>
        <v>0</v>
      </c>
      <c r="X131" s="312">
        <f t="shared" si="35"/>
        <v>0</v>
      </c>
      <c r="Y131" s="7"/>
    </row>
    <row r="132" spans="2:25" ht="18" customHeight="1" x14ac:dyDescent="0.25">
      <c r="B132" s="545"/>
      <c r="C132" s="546"/>
      <c r="D132" s="19" t="s">
        <v>172</v>
      </c>
      <c r="E132" s="250">
        <f>E67/E62</f>
        <v>1.6949152542372881</v>
      </c>
      <c r="F132" s="313">
        <f t="shared" ref="F132:X132" si="36">F67/F62</f>
        <v>1.6949152542372881</v>
      </c>
      <c r="G132" s="250">
        <f t="shared" si="36"/>
        <v>1.5384615384615385</v>
      </c>
      <c r="H132" s="313">
        <f t="shared" si="36"/>
        <v>1.4705882352941178</v>
      </c>
      <c r="I132" s="250">
        <f t="shared" si="36"/>
        <v>1.7857142857142858</v>
      </c>
      <c r="J132" s="313">
        <f t="shared" si="36"/>
        <v>2.8571428571428572</v>
      </c>
      <c r="K132" s="250">
        <f t="shared" si="36"/>
        <v>2.601156069364162</v>
      </c>
      <c r="L132" s="313">
        <f t="shared" si="36"/>
        <v>1.6129032258064515</v>
      </c>
      <c r="M132" s="250">
        <f t="shared" si="36"/>
        <v>1.6129032258064515</v>
      </c>
      <c r="N132" s="313">
        <f t="shared" si="36"/>
        <v>2.4930747922437675</v>
      </c>
      <c r="O132" s="250">
        <f t="shared" si="36"/>
        <v>0</v>
      </c>
      <c r="P132" s="313">
        <f t="shared" si="36"/>
        <v>0</v>
      </c>
      <c r="Q132" s="250">
        <f t="shared" si="36"/>
        <v>0</v>
      </c>
      <c r="R132" s="313" t="e">
        <f t="shared" si="36"/>
        <v>#DIV/0!</v>
      </c>
      <c r="S132" s="250" t="e">
        <f t="shared" si="36"/>
        <v>#DIV/0!</v>
      </c>
      <c r="T132" s="313" t="e">
        <f t="shared" si="36"/>
        <v>#DIV/0!</v>
      </c>
      <c r="U132" s="250" t="e">
        <f t="shared" si="36"/>
        <v>#DIV/0!</v>
      </c>
      <c r="V132" s="313" t="e">
        <f t="shared" si="36"/>
        <v>#DIV/0!</v>
      </c>
      <c r="W132" s="250" t="e">
        <f t="shared" si="36"/>
        <v>#DIV/0!</v>
      </c>
      <c r="X132" s="313" t="e">
        <f t="shared" si="36"/>
        <v>#DIV/0!</v>
      </c>
      <c r="Y132" s="7"/>
    </row>
    <row r="133" spans="2:25" ht="21" customHeight="1" x14ac:dyDescent="0.25">
      <c r="B133" s="545"/>
      <c r="C133" s="546"/>
      <c r="D133" s="19" t="s">
        <v>173</v>
      </c>
      <c r="E133" s="251"/>
      <c r="F133" s="301"/>
      <c r="G133" s="251"/>
      <c r="H133" s="301"/>
      <c r="I133" s="251"/>
      <c r="J133" s="301"/>
      <c r="K133" s="251"/>
      <c r="L133" s="301"/>
      <c r="M133" s="251"/>
      <c r="N133" s="301"/>
      <c r="O133" s="251"/>
      <c r="P133" s="301"/>
      <c r="Q133" s="251"/>
      <c r="R133" s="301"/>
      <c r="S133" s="251"/>
      <c r="T133" s="301"/>
      <c r="U133" s="251"/>
      <c r="V133" s="301"/>
      <c r="W133" s="251"/>
      <c r="X133" s="301"/>
      <c r="Y133" s="7"/>
    </row>
    <row r="134" spans="2:25" ht="44.25" customHeight="1" thickBot="1" x14ac:dyDescent="0.3">
      <c r="B134" s="547"/>
      <c r="C134" s="548"/>
      <c r="D134" s="240" t="s">
        <v>220</v>
      </c>
      <c r="E134" s="251"/>
      <c r="F134" s="301"/>
      <c r="G134" s="251"/>
      <c r="H134" s="301"/>
      <c r="I134" s="251"/>
      <c r="J134" s="301"/>
      <c r="K134" s="251"/>
      <c r="L134" s="301"/>
      <c r="M134" s="251"/>
      <c r="N134" s="301"/>
      <c r="O134" s="251"/>
      <c r="P134" s="301"/>
      <c r="Q134" s="251"/>
      <c r="R134" s="301"/>
      <c r="S134" s="251"/>
      <c r="T134" s="301"/>
      <c r="U134" s="251"/>
      <c r="V134" s="301"/>
      <c r="W134" s="251"/>
      <c r="X134" s="301"/>
      <c r="Y134" s="7"/>
    </row>
    <row r="135" spans="2:25" ht="18" customHeight="1" x14ac:dyDescent="0.4">
      <c r="B135" s="534" t="s">
        <v>40</v>
      </c>
      <c r="C135" s="540"/>
      <c r="D135" s="19" t="s">
        <v>44</v>
      </c>
      <c r="E135" s="1"/>
      <c r="F135" s="314"/>
      <c r="G135" s="1"/>
      <c r="H135" s="319"/>
      <c r="I135" s="1"/>
      <c r="J135" s="319"/>
      <c r="K135" s="1"/>
      <c r="L135" s="319"/>
      <c r="M135" s="1"/>
      <c r="N135" s="319"/>
      <c r="O135" s="1"/>
      <c r="P135" s="319"/>
      <c r="Q135" s="1"/>
      <c r="R135" s="319"/>
      <c r="S135" s="1"/>
      <c r="T135" s="319"/>
      <c r="U135" s="1"/>
      <c r="V135" s="319"/>
      <c r="W135" s="1"/>
      <c r="X135" s="319"/>
      <c r="Y135" s="69"/>
    </row>
    <row r="136" spans="2:25" ht="18" customHeight="1" x14ac:dyDescent="0.4">
      <c r="B136" s="536"/>
      <c r="C136" s="541"/>
      <c r="D136" s="19" t="s">
        <v>20</v>
      </c>
      <c r="E136" s="1"/>
      <c r="F136" s="314"/>
      <c r="G136" s="1"/>
      <c r="H136" s="319"/>
      <c r="I136" s="1"/>
      <c r="J136" s="319"/>
      <c r="K136" s="1"/>
      <c r="L136" s="319"/>
      <c r="M136" s="1"/>
      <c r="N136" s="319"/>
      <c r="O136" s="1"/>
      <c r="P136" s="319"/>
      <c r="Q136" s="1"/>
      <c r="R136" s="319"/>
      <c r="S136" s="1"/>
      <c r="T136" s="319"/>
      <c r="U136" s="1"/>
      <c r="V136" s="319"/>
      <c r="W136" s="1"/>
      <c r="X136" s="319"/>
      <c r="Y136" s="69"/>
    </row>
    <row r="137" spans="2:25" ht="18" customHeight="1" x14ac:dyDescent="0.4">
      <c r="B137" s="536"/>
      <c r="C137" s="541"/>
      <c r="D137" s="19" t="s">
        <v>64</v>
      </c>
      <c r="E137" s="1"/>
      <c r="F137" s="314"/>
      <c r="G137" s="1"/>
      <c r="H137" s="319"/>
      <c r="I137" s="1"/>
      <c r="J137" s="319"/>
      <c r="K137" s="1"/>
      <c r="L137" s="319"/>
      <c r="M137" s="1"/>
      <c r="N137" s="319"/>
      <c r="O137" s="1"/>
      <c r="P137" s="319"/>
      <c r="Q137" s="1"/>
      <c r="R137" s="319"/>
      <c r="S137" s="1"/>
      <c r="T137" s="319"/>
      <c r="U137" s="1"/>
      <c r="V137" s="319"/>
      <c r="W137" s="1"/>
      <c r="X137" s="319"/>
      <c r="Y137" s="69"/>
    </row>
    <row r="138" spans="2:25" ht="18" customHeight="1" x14ac:dyDescent="0.4">
      <c r="B138" s="536"/>
      <c r="C138" s="541"/>
      <c r="D138" s="19" t="s">
        <v>25</v>
      </c>
      <c r="E138" s="1"/>
      <c r="F138" s="314"/>
      <c r="G138" s="1"/>
      <c r="H138" s="319"/>
      <c r="I138" s="1"/>
      <c r="J138" s="319"/>
      <c r="K138" s="1"/>
      <c r="L138" s="319"/>
      <c r="M138" s="1"/>
      <c r="N138" s="319"/>
      <c r="O138" s="1"/>
      <c r="P138" s="319"/>
      <c r="Q138" s="1"/>
      <c r="R138" s="319"/>
      <c r="S138" s="1"/>
      <c r="T138" s="319"/>
      <c r="U138" s="1"/>
      <c r="V138" s="319"/>
      <c r="W138" s="1"/>
      <c r="X138" s="319"/>
      <c r="Y138" s="69"/>
    </row>
    <row r="139" spans="2:25" ht="18" customHeight="1" x14ac:dyDescent="0.4">
      <c r="B139" s="536"/>
      <c r="C139" s="541"/>
      <c r="D139" s="19" t="s">
        <v>45</v>
      </c>
      <c r="E139" s="1"/>
      <c r="F139" s="314"/>
      <c r="G139" s="1"/>
      <c r="H139" s="319"/>
      <c r="I139" s="1"/>
      <c r="J139" s="319"/>
      <c r="K139" s="1"/>
      <c r="L139" s="319"/>
      <c r="M139" s="1"/>
      <c r="N139" s="319"/>
      <c r="O139" s="1"/>
      <c r="P139" s="319"/>
      <c r="Q139" s="1"/>
      <c r="R139" s="319"/>
      <c r="S139" s="1"/>
      <c r="T139" s="319"/>
      <c r="U139" s="1"/>
      <c r="V139" s="319"/>
      <c r="W139" s="1"/>
      <c r="X139" s="319"/>
      <c r="Y139" s="69"/>
    </row>
    <row r="140" spans="2:25" ht="18" customHeight="1" x14ac:dyDescent="0.4">
      <c r="B140" s="536"/>
      <c r="C140" s="541"/>
      <c r="D140" s="19" t="s">
        <v>46</v>
      </c>
      <c r="E140" s="1"/>
      <c r="F140" s="314"/>
      <c r="G140" s="1"/>
      <c r="H140" s="319"/>
      <c r="I140" s="1"/>
      <c r="J140" s="319"/>
      <c r="K140" s="1"/>
      <c r="L140" s="319"/>
      <c r="M140" s="1"/>
      <c r="N140" s="319"/>
      <c r="O140" s="1"/>
      <c r="P140" s="319"/>
      <c r="Q140" s="1"/>
      <c r="R140" s="319"/>
      <c r="S140" s="1"/>
      <c r="T140" s="319"/>
      <c r="U140" s="1"/>
      <c r="V140" s="319"/>
      <c r="W140" s="1"/>
      <c r="X140" s="319"/>
      <c r="Y140" s="69"/>
    </row>
    <row r="141" spans="2:25" ht="18" customHeight="1" x14ac:dyDescent="0.4">
      <c r="B141" s="536"/>
      <c r="C141" s="541"/>
      <c r="D141" s="19" t="s">
        <v>66</v>
      </c>
      <c r="E141" s="1"/>
      <c r="F141" s="314"/>
      <c r="G141" s="1"/>
      <c r="H141" s="319"/>
      <c r="I141" s="1"/>
      <c r="J141" s="319"/>
      <c r="K141" s="1"/>
      <c r="L141" s="319"/>
      <c r="M141" s="1"/>
      <c r="N141" s="319"/>
      <c r="O141" s="1"/>
      <c r="P141" s="319"/>
      <c r="Q141" s="1"/>
      <c r="R141" s="319"/>
      <c r="S141" s="1"/>
      <c r="T141" s="319"/>
      <c r="U141" s="1"/>
      <c r="V141" s="319"/>
      <c r="W141" s="1"/>
      <c r="X141" s="319"/>
      <c r="Y141" s="69"/>
    </row>
    <row r="142" spans="2:25" ht="18" customHeight="1" x14ac:dyDescent="0.4">
      <c r="B142" s="536"/>
      <c r="C142" s="541"/>
      <c r="D142" s="19" t="s">
        <v>47</v>
      </c>
      <c r="E142" s="1"/>
      <c r="F142" s="314"/>
      <c r="G142" s="1"/>
      <c r="H142" s="319"/>
      <c r="I142" s="1"/>
      <c r="J142" s="319"/>
      <c r="K142" s="1"/>
      <c r="L142" s="319"/>
      <c r="M142" s="1"/>
      <c r="N142" s="319"/>
      <c r="O142" s="1"/>
      <c r="P142" s="319"/>
      <c r="Q142" s="1"/>
      <c r="R142" s="319"/>
      <c r="S142" s="1"/>
      <c r="T142" s="319"/>
      <c r="U142" s="1"/>
      <c r="V142" s="319"/>
      <c r="W142" s="1"/>
      <c r="X142" s="319"/>
      <c r="Y142" s="69"/>
    </row>
    <row r="143" spans="2:25" ht="18" customHeight="1" x14ac:dyDescent="0.4">
      <c r="B143" s="536"/>
      <c r="C143" s="541"/>
      <c r="D143" s="19" t="s">
        <v>48</v>
      </c>
      <c r="E143" s="1"/>
      <c r="F143" s="314"/>
      <c r="G143" s="1"/>
      <c r="H143" s="319"/>
      <c r="I143" s="1"/>
      <c r="J143" s="319"/>
      <c r="K143" s="1"/>
      <c r="L143" s="319"/>
      <c r="M143" s="1"/>
      <c r="N143" s="319"/>
      <c r="O143" s="1"/>
      <c r="P143" s="319"/>
      <c r="Q143" s="1"/>
      <c r="R143" s="319"/>
      <c r="S143" s="1"/>
      <c r="T143" s="319"/>
      <c r="U143" s="1"/>
      <c r="V143" s="319"/>
      <c r="W143" s="1"/>
      <c r="X143" s="319"/>
      <c r="Y143" s="69"/>
    </row>
    <row r="144" spans="2:25" ht="18" customHeight="1" x14ac:dyDescent="0.4">
      <c r="B144" s="536"/>
      <c r="C144" s="541"/>
      <c r="D144" s="19" t="s">
        <v>49</v>
      </c>
      <c r="E144" s="1"/>
      <c r="F144" s="314"/>
      <c r="G144" s="1"/>
      <c r="H144" s="319"/>
      <c r="I144" s="1"/>
      <c r="J144" s="319"/>
      <c r="K144" s="1"/>
      <c r="L144" s="319"/>
      <c r="M144" s="1"/>
      <c r="N144" s="319"/>
      <c r="O144" s="1"/>
      <c r="P144" s="319"/>
      <c r="Q144" s="1"/>
      <c r="R144" s="319"/>
      <c r="S144" s="1"/>
      <c r="T144" s="319"/>
      <c r="U144" s="1"/>
      <c r="V144" s="319"/>
      <c r="W144" s="1"/>
      <c r="X144" s="319"/>
      <c r="Y144" s="69"/>
    </row>
    <row r="145" spans="2:25" ht="18" customHeight="1" x14ac:dyDescent="0.4">
      <c r="B145" s="536"/>
      <c r="C145" s="541"/>
      <c r="D145" s="19" t="s">
        <v>65</v>
      </c>
      <c r="E145" s="1"/>
      <c r="F145" s="314"/>
      <c r="G145" s="1"/>
      <c r="H145" s="319"/>
      <c r="I145" s="1"/>
      <c r="J145" s="319"/>
      <c r="K145" s="1"/>
      <c r="L145" s="319"/>
      <c r="M145" s="1"/>
      <c r="N145" s="319"/>
      <c r="O145" s="1"/>
      <c r="P145" s="319"/>
      <c r="Q145" s="1"/>
      <c r="R145" s="319"/>
      <c r="S145" s="1"/>
      <c r="T145" s="319"/>
      <c r="U145" s="1"/>
      <c r="V145" s="319"/>
      <c r="W145" s="1"/>
      <c r="X145" s="319"/>
      <c r="Y145" s="69"/>
    </row>
    <row r="146" spans="2:25" ht="18" customHeight="1" thickBot="1" x14ac:dyDescent="0.45">
      <c r="B146" s="538"/>
      <c r="C146" s="542"/>
      <c r="D146" s="379" t="s">
        <v>50</v>
      </c>
      <c r="E146" s="380"/>
      <c r="F146" s="381"/>
      <c r="G146" s="380"/>
      <c r="H146" s="382"/>
      <c r="I146" s="380"/>
      <c r="J146" s="382"/>
      <c r="K146" s="380"/>
      <c r="L146" s="382"/>
      <c r="M146" s="380"/>
      <c r="N146" s="382"/>
      <c r="O146" s="380"/>
      <c r="P146" s="382"/>
      <c r="Q146" s="380"/>
      <c r="R146" s="382"/>
      <c r="S146" s="380"/>
      <c r="T146" s="382"/>
      <c r="U146" s="380"/>
      <c r="V146" s="382"/>
      <c r="W146" s="380"/>
      <c r="X146" s="382"/>
      <c r="Y146" s="69"/>
    </row>
    <row r="147" spans="2:25" ht="18" customHeight="1" x14ac:dyDescent="0.4">
      <c r="B147" s="534" t="s">
        <v>289</v>
      </c>
      <c r="C147" s="540"/>
      <c r="D147" s="210" t="s">
        <v>266</v>
      </c>
      <c r="E147" s="383"/>
      <c r="F147" s="384"/>
      <c r="G147" s="383"/>
      <c r="H147" s="385"/>
      <c r="I147" s="383"/>
      <c r="J147" s="385"/>
      <c r="K147" s="383"/>
      <c r="L147" s="385"/>
      <c r="M147" s="383"/>
      <c r="N147" s="385"/>
      <c r="O147" s="383"/>
      <c r="P147" s="385"/>
      <c r="Q147" s="383"/>
      <c r="R147" s="385"/>
      <c r="S147" s="383"/>
      <c r="T147" s="385"/>
      <c r="U147" s="383"/>
      <c r="V147" s="385"/>
      <c r="W147" s="383"/>
      <c r="X147" s="385"/>
      <c r="Y147" s="69"/>
    </row>
    <row r="148" spans="2:25" ht="18" customHeight="1" x14ac:dyDescent="0.4">
      <c r="B148" s="536"/>
      <c r="C148" s="541"/>
      <c r="D148" s="211" t="s">
        <v>268</v>
      </c>
      <c r="E148" s="252"/>
      <c r="F148" s="315"/>
      <c r="G148" s="252"/>
      <c r="H148" s="320"/>
      <c r="I148" s="252"/>
      <c r="J148" s="320"/>
      <c r="K148" s="252"/>
      <c r="L148" s="320"/>
      <c r="M148" s="252"/>
      <c r="N148" s="320"/>
      <c r="O148" s="252"/>
      <c r="P148" s="320"/>
      <c r="Q148" s="252"/>
      <c r="R148" s="320"/>
      <c r="S148" s="252"/>
      <c r="T148" s="320"/>
      <c r="U148" s="252"/>
      <c r="V148" s="320"/>
      <c r="W148" s="252"/>
      <c r="X148" s="320"/>
      <c r="Y148" s="69"/>
    </row>
    <row r="149" spans="2:25" ht="18" customHeight="1" x14ac:dyDescent="0.4">
      <c r="B149" s="536"/>
      <c r="C149" s="541"/>
      <c r="D149" s="211" t="s">
        <v>270</v>
      </c>
      <c r="E149" s="252"/>
      <c r="F149" s="315"/>
      <c r="G149" s="252"/>
      <c r="H149" s="320"/>
      <c r="I149" s="252"/>
      <c r="J149" s="320"/>
      <c r="K149" s="252"/>
      <c r="L149" s="320"/>
      <c r="M149" s="252"/>
      <c r="N149" s="320"/>
      <c r="O149" s="252"/>
      <c r="P149" s="320"/>
      <c r="Q149" s="252"/>
      <c r="R149" s="320"/>
      <c r="S149" s="252"/>
      <c r="T149" s="320"/>
      <c r="U149" s="252"/>
      <c r="V149" s="320"/>
      <c r="W149" s="252"/>
      <c r="X149" s="320"/>
      <c r="Y149" s="69"/>
    </row>
    <row r="150" spans="2:25" ht="18" customHeight="1" x14ac:dyDescent="0.4">
      <c r="B150" s="536"/>
      <c r="C150" s="541"/>
      <c r="D150" s="211" t="s">
        <v>272</v>
      </c>
      <c r="E150" s="252"/>
      <c r="F150" s="315"/>
      <c r="G150" s="252"/>
      <c r="H150" s="320"/>
      <c r="I150" s="252"/>
      <c r="J150" s="320"/>
      <c r="K150" s="252"/>
      <c r="L150" s="320"/>
      <c r="M150" s="252"/>
      <c r="N150" s="320"/>
      <c r="O150" s="252"/>
      <c r="P150" s="320"/>
      <c r="Q150" s="252"/>
      <c r="R150" s="320"/>
      <c r="S150" s="252"/>
      <c r="T150" s="320"/>
      <c r="U150" s="252"/>
      <c r="V150" s="320"/>
      <c r="W150" s="252"/>
      <c r="X150" s="320"/>
      <c r="Y150" s="69"/>
    </row>
    <row r="151" spans="2:25" ht="18" customHeight="1" x14ac:dyDescent="0.4">
      <c r="B151" s="536"/>
      <c r="C151" s="541"/>
      <c r="D151" s="211" t="s">
        <v>274</v>
      </c>
      <c r="E151" s="252"/>
      <c r="F151" s="315"/>
      <c r="G151" s="252"/>
      <c r="H151" s="320"/>
      <c r="I151" s="252"/>
      <c r="J151" s="320"/>
      <c r="K151" s="252"/>
      <c r="L151" s="320"/>
      <c r="M151" s="252"/>
      <c r="N151" s="320"/>
      <c r="O151" s="252"/>
      <c r="P151" s="320"/>
      <c r="Q151" s="252"/>
      <c r="R151" s="320"/>
      <c r="S151" s="252"/>
      <c r="T151" s="320"/>
      <c r="U151" s="252"/>
      <c r="V151" s="320"/>
      <c r="W151" s="252"/>
      <c r="X151" s="320"/>
      <c r="Y151" s="69"/>
    </row>
    <row r="152" spans="2:25" ht="18" customHeight="1" thickBot="1" x14ac:dyDescent="0.45">
      <c r="B152" s="536"/>
      <c r="C152" s="541"/>
      <c r="D152" s="212" t="s">
        <v>276</v>
      </c>
      <c r="E152" s="386"/>
      <c r="F152" s="387"/>
      <c r="G152" s="386"/>
      <c r="H152" s="388"/>
      <c r="I152" s="386"/>
      <c r="J152" s="388"/>
      <c r="K152" s="386"/>
      <c r="L152" s="388"/>
      <c r="M152" s="386"/>
      <c r="N152" s="388"/>
      <c r="O152" s="386"/>
      <c r="P152" s="388"/>
      <c r="Q152" s="386"/>
      <c r="R152" s="388"/>
      <c r="S152" s="386"/>
      <c r="T152" s="388"/>
      <c r="U152" s="386"/>
      <c r="V152" s="388"/>
      <c r="W152" s="386"/>
      <c r="X152" s="388"/>
      <c r="Y152" s="69"/>
    </row>
    <row r="153" spans="2:25" ht="18" customHeight="1" x14ac:dyDescent="0.4">
      <c r="B153" s="534" t="s">
        <v>299</v>
      </c>
      <c r="C153" s="535"/>
      <c r="D153" s="549" t="s">
        <v>346</v>
      </c>
      <c r="E153" s="375"/>
      <c r="F153" s="373"/>
      <c r="G153" s="375"/>
      <c r="H153" s="374"/>
      <c r="I153" s="375"/>
      <c r="J153" s="374"/>
      <c r="K153" s="375"/>
      <c r="L153" s="374"/>
      <c r="M153" s="375"/>
      <c r="N153" s="374"/>
      <c r="O153" s="375"/>
      <c r="P153" s="374"/>
      <c r="Q153" s="375"/>
      <c r="R153" s="374"/>
      <c r="S153" s="375"/>
      <c r="T153" s="374"/>
      <c r="U153" s="375"/>
      <c r="V153" s="374"/>
      <c r="W153" s="375"/>
      <c r="X153" s="374"/>
      <c r="Y153" s="69"/>
    </row>
    <row r="154" spans="2:25" ht="18" customHeight="1" x14ac:dyDescent="0.4">
      <c r="B154" s="536"/>
      <c r="C154" s="537"/>
      <c r="D154" s="550"/>
      <c r="E154" s="253"/>
      <c r="F154" s="316"/>
      <c r="G154" s="253"/>
      <c r="H154" s="321"/>
      <c r="I154" s="253"/>
      <c r="J154" s="321"/>
      <c r="K154" s="253"/>
      <c r="L154" s="321"/>
      <c r="M154" s="253"/>
      <c r="N154" s="321"/>
      <c r="O154" s="253"/>
      <c r="P154" s="321"/>
      <c r="Q154" s="253"/>
      <c r="R154" s="321"/>
      <c r="S154" s="253"/>
      <c r="T154" s="321"/>
      <c r="U154" s="253"/>
      <c r="V154" s="321"/>
      <c r="W154" s="253"/>
      <c r="X154" s="321"/>
      <c r="Y154" s="69"/>
    </row>
    <row r="155" spans="2:25" ht="18" customHeight="1" x14ac:dyDescent="0.4">
      <c r="B155" s="536"/>
      <c r="C155" s="537"/>
      <c r="D155" s="550" t="s">
        <v>347</v>
      </c>
      <c r="E155" s="253"/>
      <c r="F155" s="316"/>
      <c r="G155" s="253"/>
      <c r="H155" s="321"/>
      <c r="I155" s="253"/>
      <c r="J155" s="321"/>
      <c r="K155" s="253"/>
      <c r="L155" s="321"/>
      <c r="M155" s="253"/>
      <c r="N155" s="321"/>
      <c r="O155" s="253"/>
      <c r="P155" s="321"/>
      <c r="Q155" s="253"/>
      <c r="R155" s="321"/>
      <c r="S155" s="253"/>
      <c r="T155" s="321"/>
      <c r="U155" s="253"/>
      <c r="V155" s="321"/>
      <c r="W155" s="253"/>
      <c r="X155" s="321"/>
      <c r="Y155" s="69"/>
    </row>
    <row r="156" spans="2:25" ht="18" customHeight="1" x14ac:dyDescent="0.4">
      <c r="B156" s="536"/>
      <c r="C156" s="537"/>
      <c r="D156" s="550"/>
      <c r="E156" s="253"/>
      <c r="F156" s="316"/>
      <c r="G156" s="253"/>
      <c r="H156" s="321"/>
      <c r="I156" s="253"/>
      <c r="J156" s="321"/>
      <c r="K156" s="253"/>
      <c r="L156" s="321"/>
      <c r="M156" s="253"/>
      <c r="N156" s="321"/>
      <c r="O156" s="253"/>
      <c r="P156" s="321"/>
      <c r="Q156" s="253"/>
      <c r="R156" s="321"/>
      <c r="S156" s="253"/>
      <c r="T156" s="321"/>
      <c r="U156" s="253"/>
      <c r="V156" s="321"/>
      <c r="W156" s="253"/>
      <c r="X156" s="321"/>
      <c r="Y156" s="69"/>
    </row>
    <row r="157" spans="2:25" ht="18" customHeight="1" x14ac:dyDescent="0.4">
      <c r="B157" s="536"/>
      <c r="C157" s="537"/>
      <c r="D157" s="550" t="s">
        <v>348</v>
      </c>
      <c r="E157" s="253"/>
      <c r="F157" s="316"/>
      <c r="G157" s="253"/>
      <c r="H157" s="321"/>
      <c r="I157" s="253"/>
      <c r="J157" s="321"/>
      <c r="K157" s="253"/>
      <c r="L157" s="321"/>
      <c r="M157" s="253"/>
      <c r="N157" s="321"/>
      <c r="O157" s="253"/>
      <c r="P157" s="321"/>
      <c r="Q157" s="253"/>
      <c r="R157" s="321"/>
      <c r="S157" s="253"/>
      <c r="T157" s="321"/>
      <c r="U157" s="253"/>
      <c r="V157" s="321"/>
      <c r="W157" s="253"/>
      <c r="X157" s="321"/>
      <c r="Y157" s="69"/>
    </row>
    <row r="158" spans="2:25" ht="18" customHeight="1" x14ac:dyDescent="0.4">
      <c r="B158" s="536"/>
      <c r="C158" s="537"/>
      <c r="D158" s="550"/>
      <c r="E158" s="253"/>
      <c r="F158" s="316"/>
      <c r="G158" s="253"/>
      <c r="H158" s="321"/>
      <c r="I158" s="253"/>
      <c r="J158" s="321"/>
      <c r="K158" s="253"/>
      <c r="L158" s="321"/>
      <c r="M158" s="253"/>
      <c r="N158" s="321"/>
      <c r="O158" s="253"/>
      <c r="P158" s="321"/>
      <c r="Q158" s="253"/>
      <c r="R158" s="321"/>
      <c r="S158" s="253"/>
      <c r="T158" s="321"/>
      <c r="U158" s="253"/>
      <c r="V158" s="321"/>
      <c r="W158" s="253"/>
      <c r="X158" s="321"/>
      <c r="Y158" s="69"/>
    </row>
    <row r="159" spans="2:25" ht="18" customHeight="1" x14ac:dyDescent="0.4">
      <c r="B159" s="536"/>
      <c r="C159" s="537"/>
      <c r="D159" s="550" t="s">
        <v>349</v>
      </c>
      <c r="E159" s="253"/>
      <c r="F159" s="316"/>
      <c r="G159" s="253"/>
      <c r="H159" s="321"/>
      <c r="I159" s="253"/>
      <c r="J159" s="321"/>
      <c r="K159" s="253"/>
      <c r="L159" s="321"/>
      <c r="M159" s="253"/>
      <c r="N159" s="321"/>
      <c r="O159" s="253"/>
      <c r="P159" s="321"/>
      <c r="Q159" s="253"/>
      <c r="R159" s="321"/>
      <c r="S159" s="253"/>
      <c r="T159" s="321"/>
      <c r="U159" s="253"/>
      <c r="V159" s="321"/>
      <c r="W159" s="253"/>
      <c r="X159" s="321"/>
      <c r="Y159" s="69"/>
    </row>
    <row r="160" spans="2:25" ht="18" customHeight="1" x14ac:dyDescent="0.4">
      <c r="B160" s="536"/>
      <c r="C160" s="537"/>
      <c r="D160" s="550"/>
      <c r="E160" s="253"/>
      <c r="F160" s="316"/>
      <c r="G160" s="253"/>
      <c r="H160" s="321"/>
      <c r="I160" s="253"/>
      <c r="J160" s="321"/>
      <c r="K160" s="253"/>
      <c r="L160" s="321"/>
      <c r="M160" s="253"/>
      <c r="N160" s="321"/>
      <c r="O160" s="253"/>
      <c r="P160" s="321"/>
      <c r="Q160" s="253"/>
      <c r="R160" s="321"/>
      <c r="S160" s="253"/>
      <c r="T160" s="321"/>
      <c r="U160" s="253"/>
      <c r="V160" s="321"/>
      <c r="W160" s="253"/>
      <c r="X160" s="321"/>
      <c r="Y160" s="69"/>
    </row>
    <row r="161" spans="2:25" ht="18" customHeight="1" thickBot="1" x14ac:dyDescent="0.45">
      <c r="B161" s="536"/>
      <c r="C161" s="537"/>
      <c r="D161" s="550" t="s">
        <v>350</v>
      </c>
      <c r="E161" s="253"/>
      <c r="F161" s="316"/>
      <c r="G161" s="253"/>
      <c r="H161" s="321"/>
      <c r="I161" s="253"/>
      <c r="J161" s="321"/>
      <c r="K161" s="253"/>
      <c r="L161" s="321"/>
      <c r="M161" s="253"/>
      <c r="N161" s="372"/>
      <c r="O161" s="253"/>
      <c r="P161" s="321"/>
      <c r="Q161" s="253"/>
      <c r="R161" s="321"/>
      <c r="S161" s="253"/>
      <c r="T161" s="321"/>
      <c r="U161" s="253"/>
      <c r="V161" s="321"/>
      <c r="W161" s="253"/>
      <c r="X161" s="321"/>
      <c r="Y161" s="69"/>
    </row>
    <row r="162" spans="2:25" ht="18" customHeight="1" thickBot="1" x14ac:dyDescent="0.45">
      <c r="B162" s="536"/>
      <c r="C162" s="537"/>
      <c r="D162" s="550"/>
      <c r="E162" s="253"/>
      <c r="F162" s="316"/>
      <c r="G162" s="253"/>
      <c r="H162" s="321"/>
      <c r="I162" s="253"/>
      <c r="J162" s="321"/>
      <c r="K162" s="253"/>
      <c r="L162" s="321"/>
      <c r="M162" s="376"/>
      <c r="N162" s="378"/>
      <c r="O162" s="326"/>
      <c r="P162" s="321"/>
      <c r="Q162" s="253"/>
      <c r="R162" s="321"/>
      <c r="S162" s="253"/>
      <c r="T162" s="321"/>
      <c r="U162" s="253"/>
      <c r="V162" s="321"/>
      <c r="W162" s="253"/>
      <c r="X162" s="321"/>
      <c r="Y162" s="69"/>
    </row>
    <row r="163" spans="2:25" ht="18" customHeight="1" x14ac:dyDescent="0.4">
      <c r="B163" s="536"/>
      <c r="C163" s="537"/>
      <c r="D163" s="550" t="s">
        <v>351</v>
      </c>
      <c r="E163" s="253"/>
      <c r="F163" s="316"/>
      <c r="G163" s="253"/>
      <c r="H163" s="321"/>
      <c r="I163" s="253"/>
      <c r="J163" s="321"/>
      <c r="K163" s="253"/>
      <c r="L163" s="321"/>
      <c r="M163" s="253"/>
      <c r="N163" s="377"/>
      <c r="O163" s="253"/>
      <c r="P163" s="321"/>
      <c r="Q163" s="253"/>
      <c r="R163" s="321"/>
      <c r="S163" s="253"/>
      <c r="T163" s="321"/>
      <c r="U163" s="253"/>
      <c r="V163" s="321"/>
      <c r="W163" s="253"/>
      <c r="X163" s="321"/>
      <c r="Y163" s="69"/>
    </row>
    <row r="164" spans="2:25" ht="18" customHeight="1" x14ac:dyDescent="0.4">
      <c r="B164" s="536"/>
      <c r="C164" s="537"/>
      <c r="D164" s="550"/>
      <c r="E164" s="253"/>
      <c r="F164" s="316"/>
      <c r="G164" s="253"/>
      <c r="H164" s="321"/>
      <c r="I164" s="253"/>
      <c r="J164" s="321"/>
      <c r="K164" s="253"/>
      <c r="L164" s="321"/>
      <c r="M164" s="253"/>
      <c r="N164" s="321"/>
      <c r="O164" s="253"/>
      <c r="P164" s="321"/>
      <c r="Q164" s="253"/>
      <c r="R164" s="321"/>
      <c r="S164" s="253"/>
      <c r="T164" s="321"/>
      <c r="U164" s="253"/>
      <c r="V164" s="321"/>
      <c r="W164" s="253"/>
      <c r="X164" s="321"/>
      <c r="Y164" s="69"/>
    </row>
    <row r="165" spans="2:25" ht="18" customHeight="1" x14ac:dyDescent="0.4">
      <c r="B165" s="536"/>
      <c r="C165" s="537"/>
      <c r="D165" s="550" t="s">
        <v>352</v>
      </c>
      <c r="E165" s="253"/>
      <c r="F165" s="316"/>
      <c r="G165" s="253"/>
      <c r="H165" s="321"/>
      <c r="I165" s="253"/>
      <c r="J165" s="321"/>
      <c r="K165" s="253"/>
      <c r="L165" s="321"/>
      <c r="M165" s="253"/>
      <c r="N165" s="321"/>
      <c r="O165" s="253"/>
      <c r="P165" s="321"/>
      <c r="Q165" s="253"/>
      <c r="R165" s="321"/>
      <c r="S165" s="253"/>
      <c r="T165" s="321"/>
      <c r="U165" s="253"/>
      <c r="V165" s="321"/>
      <c r="W165" s="253"/>
      <c r="X165" s="321"/>
      <c r="Y165" s="69"/>
    </row>
    <row r="166" spans="2:25" ht="18" customHeight="1" x14ac:dyDescent="0.4">
      <c r="B166" s="536"/>
      <c r="C166" s="537"/>
      <c r="D166" s="550"/>
      <c r="E166" s="253"/>
      <c r="F166" s="316"/>
      <c r="G166" s="253"/>
      <c r="H166" s="321"/>
      <c r="I166" s="253"/>
      <c r="J166" s="321"/>
      <c r="K166" s="253"/>
      <c r="L166" s="321"/>
      <c r="M166" s="253"/>
      <c r="N166" s="321"/>
      <c r="O166" s="253"/>
      <c r="P166" s="321"/>
      <c r="Q166" s="253"/>
      <c r="R166" s="321"/>
      <c r="S166" s="253"/>
      <c r="T166" s="321"/>
      <c r="U166" s="253"/>
      <c r="V166" s="321"/>
      <c r="W166" s="253"/>
      <c r="X166" s="321"/>
      <c r="Y166" s="69"/>
    </row>
    <row r="167" spans="2:25" ht="18" customHeight="1" x14ac:dyDescent="0.4">
      <c r="B167" s="536"/>
      <c r="C167" s="537"/>
      <c r="D167" s="550" t="s">
        <v>353</v>
      </c>
      <c r="E167" s="253"/>
      <c r="F167" s="316"/>
      <c r="G167" s="253"/>
      <c r="H167" s="321"/>
      <c r="I167" s="253"/>
      <c r="J167" s="321"/>
      <c r="K167" s="253"/>
      <c r="L167" s="321"/>
      <c r="M167" s="253"/>
      <c r="N167" s="321"/>
      <c r="O167" s="253"/>
      <c r="P167" s="321"/>
      <c r="Q167" s="253"/>
      <c r="R167" s="321"/>
      <c r="S167" s="253"/>
      <c r="T167" s="321"/>
      <c r="U167" s="253"/>
      <c r="V167" s="321"/>
      <c r="W167" s="253"/>
      <c r="X167" s="321"/>
      <c r="Y167" s="69"/>
    </row>
    <row r="168" spans="2:25" ht="18" customHeight="1" x14ac:dyDescent="0.4">
      <c r="B168" s="536"/>
      <c r="C168" s="537"/>
      <c r="D168" s="550"/>
      <c r="E168" s="253"/>
      <c r="F168" s="316"/>
      <c r="G168" s="253"/>
      <c r="H168" s="321"/>
      <c r="I168" s="253"/>
      <c r="J168" s="321"/>
      <c r="K168" s="253"/>
      <c r="L168" s="321"/>
      <c r="M168" s="253"/>
      <c r="N168" s="321"/>
      <c r="O168" s="253"/>
      <c r="P168" s="321"/>
      <c r="Q168" s="253"/>
      <c r="R168" s="321"/>
      <c r="S168" s="253"/>
      <c r="T168" s="321"/>
      <c r="U168" s="253"/>
      <c r="V168" s="321"/>
      <c r="W168" s="253"/>
      <c r="X168" s="321"/>
      <c r="Y168" s="69"/>
    </row>
    <row r="169" spans="2:25" ht="18" customHeight="1" x14ac:dyDescent="0.4">
      <c r="B169" s="536"/>
      <c r="C169" s="537"/>
      <c r="D169" s="551" t="s">
        <v>354</v>
      </c>
      <c r="E169" s="253"/>
      <c r="F169" s="316"/>
      <c r="G169" s="253"/>
      <c r="H169" s="321"/>
      <c r="I169" s="253"/>
      <c r="J169" s="321"/>
      <c r="K169" s="253"/>
      <c r="L169" s="321"/>
      <c r="M169" s="253"/>
      <c r="N169" s="321"/>
      <c r="O169" s="253"/>
      <c r="P169" s="321"/>
      <c r="Q169" s="253"/>
      <c r="R169" s="321"/>
      <c r="S169" s="253"/>
      <c r="T169" s="321"/>
      <c r="U169" s="253"/>
      <c r="V169" s="321"/>
      <c r="W169" s="253"/>
      <c r="X169" s="321"/>
      <c r="Y169" s="69"/>
    </row>
    <row r="170" spans="2:25" ht="18" customHeight="1" x14ac:dyDescent="0.4">
      <c r="B170" s="536"/>
      <c r="C170" s="537"/>
      <c r="D170" s="552"/>
      <c r="E170" s="253"/>
      <c r="F170" s="316"/>
      <c r="G170" s="253"/>
      <c r="H170" s="321"/>
      <c r="I170" s="253"/>
      <c r="J170" s="321"/>
      <c r="K170" s="253"/>
      <c r="L170" s="321"/>
      <c r="M170" s="253"/>
      <c r="N170" s="321"/>
      <c r="O170" s="253"/>
      <c r="P170" s="321"/>
      <c r="Q170" s="253"/>
      <c r="R170" s="321"/>
      <c r="S170" s="253"/>
      <c r="T170" s="321"/>
      <c r="U170" s="253"/>
      <c r="V170" s="321"/>
      <c r="W170" s="253"/>
      <c r="X170" s="321"/>
      <c r="Y170" s="69"/>
    </row>
    <row r="171" spans="2:25" ht="18" customHeight="1" x14ac:dyDescent="0.4">
      <c r="B171" s="536"/>
      <c r="C171" s="537"/>
      <c r="D171" s="551" t="s">
        <v>355</v>
      </c>
      <c r="E171" s="253"/>
      <c r="F171" s="316"/>
      <c r="G171" s="253"/>
      <c r="H171" s="321"/>
      <c r="I171" s="253"/>
      <c r="J171" s="321"/>
      <c r="K171" s="253"/>
      <c r="L171" s="321"/>
      <c r="M171" s="253"/>
      <c r="N171" s="321"/>
      <c r="O171" s="253"/>
      <c r="P171" s="321"/>
      <c r="Q171" s="253"/>
      <c r="R171" s="321"/>
      <c r="S171" s="253"/>
      <c r="T171" s="321"/>
      <c r="U171" s="253"/>
      <c r="V171" s="321"/>
      <c r="W171" s="253"/>
      <c r="X171" s="321"/>
      <c r="Y171" s="69"/>
    </row>
    <row r="172" spans="2:25" ht="18" customHeight="1" thickBot="1" x14ac:dyDescent="0.45">
      <c r="B172" s="538"/>
      <c r="C172" s="539"/>
      <c r="D172" s="553"/>
      <c r="E172" s="254"/>
      <c r="F172" s="317"/>
      <c r="G172" s="254"/>
      <c r="H172" s="322"/>
      <c r="I172" s="254"/>
      <c r="J172" s="322"/>
      <c r="K172" s="254"/>
      <c r="L172" s="322"/>
      <c r="M172" s="254"/>
      <c r="N172" s="322"/>
      <c r="O172" s="254"/>
      <c r="P172" s="322"/>
      <c r="Q172" s="254"/>
      <c r="R172" s="322"/>
      <c r="S172" s="254"/>
      <c r="T172" s="322"/>
      <c r="U172" s="254"/>
      <c r="V172" s="322"/>
      <c r="W172" s="254"/>
      <c r="X172" s="322"/>
      <c r="Y172" s="69"/>
    </row>
  </sheetData>
  <sheetProtection algorithmName="SHA-512" hashValue="e5EP6hW/iUOp9B/himx46VQtFu9zniCHpeP5Pfz9stXJ6ibc9x8Xd0Ma6p3DXakwnDsALEhBAPE4OIQnVuMo1w==" saltValue="uptTepSeqop3mlVXADnI3Q=="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X50">
      <formula1>0</formula1>
    </dataValidation>
    <dataValidation type="whole" errorStyle="warning" operator="greaterThanOrEqual" allowBlank="1" showInputMessage="1" showErrorMessage="1" errorTitle="اطلاعات" error="لطفا در ورود اطلاعات دقت فرمایید" sqref="E72:X77">
      <formula1>0</formula1>
    </dataValidation>
    <dataValidation type="whole" errorStyle="warning" operator="greaterThanOrEqual" allowBlank="1" showInputMessage="1" showErrorMessage="1" errorTitle="اطلاعات" error="لطفا در وارد کردن مبالغ و اعداد دقت فرمایید." sqref="E63:X63 E66:X70">
      <formula1>0</formula1>
    </dataValidation>
    <dataValidation type="whole" errorStyle="warning" operator="greaterThanOrEqual" allowBlank="1" showInputMessage="1" showErrorMessage="1" errorTitle="اطلاعات" error="لطفا در انتخاب مبلغ دقت فرمایید." sqref="E54:X56 E59:X59 E51:X52">
      <formula1>0</formula1>
    </dataValidation>
    <dataValidation type="list" allowBlank="1" showInputMessage="1" showErrorMessage="1" sqref="E125:X125">
      <formula1>"کانون,تاک,خودگروه"</formula1>
    </dataValidation>
    <dataValidation type="list" allowBlank="1" showInputMessage="1" showErrorMessage="1" sqref="E133:X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X120 E102:X107 E89:X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X113 E85:X87 E98:X100">
      <formula1>0</formula1>
    </dataValidation>
    <dataValidation type="whole" errorStyle="warning" operator="greaterThanOrEqual" allowBlank="1" showInputMessage="1" showErrorMessage="1" errorTitle="اطلاعات" error="لطفا در ورود اطلاعات دقت فرمایید." sqref="E81:X81">
      <formula1>0</formula1>
    </dataValidation>
    <dataValidation type="list" allowBlank="1" showInputMessage="1" showErrorMessage="1" sqref="E8:X8">
      <formula1>"فعال,غیرفعال,منحل شده"</formula1>
    </dataValidation>
    <dataValidation type="list" allowBlank="1" showInputMessage="1" showErrorMessage="1" sqref="E35:X38">
      <formula1>"قوی,متوسط,ضعیف"</formula1>
    </dataValidation>
    <dataValidation type="list" allowBlank="1" showInputMessage="1" showErrorMessage="1" sqref="E39:X39 E45:X45">
      <formula1>"دارد,ندارد"</formula1>
    </dataValidation>
    <dataValidation type="list" allowBlank="1" showInputMessage="1" showErrorMessage="1" sqref="E40:X40">
      <formula1>"ندارد,گروه یار,خزانه دار,منشی"</formula1>
    </dataValidation>
    <dataValidation type="list" allowBlank="1" showInputMessage="1" showErrorMessage="1" sqref="E41:X41">
      <formula1>"بلی,خیر,تشکیل نشده"</formula1>
    </dataValidation>
    <dataValidation type="list" allowBlank="1" showInputMessage="1" showErrorMessage="1" sqref="E42:X42">
      <formula1>"ماهانه,15 روز یکبار, کمتر از 15 روز"</formula1>
    </dataValidation>
    <dataValidation type="list" allowBlank="1" showInputMessage="1" showErrorMessage="1" sqref="E44:X44">
      <formula1>"مرتب,نامرتب"</formula1>
    </dataValidation>
    <dataValidation type="list" allowBlank="1" showInputMessage="1" showErrorMessage="1" sqref="E47:X47">
      <formula1>"انجام شده,انجام نشده"</formula1>
    </dataValidation>
    <dataValidation type="list" allowBlank="1" showInputMessage="1" showErrorMessage="1" sqref="E46:X46">
      <formula1>"1,2,3,4,5,6,7,8,9,10,11,12,13,14,15,16,17,18,19,20,21,22,23,24,25,26,27,28,29,30,31"</formula1>
    </dataValidation>
    <dataValidation type="list" allowBlank="1" showInputMessage="1" showErrorMessage="1" sqref="E48:X48">
      <formula1>"بی نقض,دارای اشتباه کم,اشتباه زیاد"</formula1>
    </dataValidation>
    <dataValidation type="list" allowBlank="1" showInputMessage="1" showErrorMessage="1" sqref="E49:X49">
      <formula1>"هفتگی,ده هفته یکبار,ماهانه"</formula1>
    </dataValidation>
    <dataValidation type="list" allowBlank="1" showInputMessage="1" showErrorMessage="1" sqref="E18:X18">
      <formula1>"الف1,الف2,الف3,الف4,الف5,الف6,الف7,ب1,ب2,ب3,ب4,ب5,ب6,ب7,پ1,پ2,پ3,پ4,پ5,پ6,پ7,پ8,پ9,پ10,پ11,پ12,پ13,پ14,ت1,ت2,ت3,ت4,ت5,ت6,ت7,ت8,ت9,ت10,ت11"</formula1>
    </dataValidation>
    <dataValidation type="list" allowBlank="1" showInputMessage="1" showErrorMessage="1" sqref="E147:X147">
      <formula1>"ب7,پرداخت شد,کسر شد,منحل شده"</formula1>
    </dataValidation>
    <dataValidation type="list" allowBlank="1" showInputMessage="1" showErrorMessage="1" sqref="E148:X148">
      <formula1>"پ9,پرداخت شد,کسر شد,منحل شده"</formula1>
    </dataValidation>
    <dataValidation type="list" allowBlank="1" showInputMessage="1" showErrorMessage="1" sqref="E149:X149">
      <formula1>"ت1,پرداخت شد,کسر شد,منحل شده"</formula1>
    </dataValidation>
    <dataValidation type="list" allowBlank="1" showInputMessage="1" showErrorMessage="1" sqref="E150:X150">
      <formula1>"ت7,پرداخت شد,کسر شد,منحل شده"</formula1>
    </dataValidation>
    <dataValidation type="list" allowBlank="1" showInputMessage="1" showErrorMessage="1" sqref="E151:X151">
      <formula1>"ت9,پرداخت شد,کسر شد,منحل شده"</formula1>
    </dataValidation>
    <dataValidation type="list" allowBlank="1" showInputMessage="1" showErrorMessage="1" sqref="E152:X152">
      <formula1>"ت11,پرداخت شد,کسر شد,منحل شده"</formula1>
    </dataValidation>
    <dataValidation type="list" allowBlank="1" showInputMessage="1" showErrorMessage="1" sqref="E154:X154 E156:X156 E158:X158 E160:X160 E162:X162 E164:X164 E166:X166 E168:X168 E170:X170 E172:X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23"/>
  <sheetViews>
    <sheetView rightToLeft="1" zoomScale="89" zoomScaleNormal="89" workbookViewId="0">
      <selection activeCell="Y1" sqref="Y1"/>
    </sheetView>
  </sheetViews>
  <sheetFormatPr defaultRowHeight="18" x14ac:dyDescent="0.25"/>
  <cols>
    <col min="1" max="1" width="1.28515625" style="70" customWidth="1"/>
    <col min="2" max="2" width="6.7109375" style="70" customWidth="1"/>
    <col min="3" max="3" width="9.140625" style="70"/>
    <col min="4" max="4" width="10.42578125" style="70" customWidth="1"/>
    <col min="5" max="5" width="9.140625" style="70"/>
    <col min="6" max="6" width="12.5703125" style="70" customWidth="1"/>
    <col min="7" max="7" width="14" style="70" customWidth="1"/>
    <col min="8" max="8" width="13" style="70" customWidth="1"/>
    <col min="9" max="9" width="12.5703125" style="70" customWidth="1"/>
    <col min="10" max="10" width="11.7109375" style="70" customWidth="1"/>
    <col min="11" max="11" width="9.5703125" style="70" customWidth="1"/>
    <col min="12" max="12" width="8.140625" style="70" customWidth="1"/>
    <col min="13" max="13" width="16.5703125" style="70" customWidth="1"/>
    <col min="14" max="14" width="16.140625" style="70" customWidth="1"/>
    <col min="15" max="15" width="15.85546875" style="70" customWidth="1"/>
    <col min="16" max="18" width="13.5703125" style="70" customWidth="1"/>
    <col min="19" max="19" width="8.5703125" style="70" customWidth="1"/>
    <col min="20" max="20" width="13.28515625" style="70" customWidth="1"/>
    <col min="21" max="21" width="8.7109375" style="70" customWidth="1"/>
    <col min="22" max="22" width="12" style="70" customWidth="1"/>
    <col min="23" max="23" width="11.42578125" style="70" customWidth="1"/>
    <col min="24" max="24" width="8.42578125" style="70" customWidth="1"/>
    <col min="25" max="25" width="10.7109375" style="70" customWidth="1"/>
    <col min="26" max="26" width="8.42578125" style="70" customWidth="1"/>
    <col min="27" max="27" width="12" style="70" customWidth="1"/>
    <col min="28" max="36" width="10" style="70" customWidth="1"/>
    <col min="37" max="37" width="9.42578125" style="70" customWidth="1"/>
    <col min="38" max="16384" width="9.140625" style="70"/>
  </cols>
  <sheetData>
    <row r="2" spans="2:38" ht="18.75" thickBot="1" x14ac:dyDescent="0.3">
      <c r="B2" s="71"/>
      <c r="U2" s="138"/>
      <c r="V2" s="138"/>
      <c r="W2" s="138"/>
      <c r="X2" s="138"/>
      <c r="Y2" s="138"/>
      <c r="Z2" s="138"/>
      <c r="AA2" s="138"/>
      <c r="AB2" s="138"/>
      <c r="AC2" s="138"/>
      <c r="AD2" s="138"/>
      <c r="AE2" s="138"/>
      <c r="AF2" s="138"/>
      <c r="AG2" s="138"/>
      <c r="AH2" s="138"/>
      <c r="AI2" s="138"/>
      <c r="AJ2" s="138"/>
      <c r="AK2" s="138"/>
      <c r="AL2" s="138"/>
    </row>
    <row r="3" spans="2:38" s="137" customFormat="1" ht="63" customHeight="1" thickBot="1" x14ac:dyDescent="0.3">
      <c r="B3" s="352" t="s">
        <v>71</v>
      </c>
      <c r="C3" s="353" t="s">
        <v>59</v>
      </c>
      <c r="D3" s="353" t="s">
        <v>60</v>
      </c>
      <c r="E3" s="353" t="s">
        <v>33</v>
      </c>
      <c r="F3" s="353" t="s">
        <v>9</v>
      </c>
      <c r="G3" s="353" t="s">
        <v>52</v>
      </c>
      <c r="H3" s="353" t="s">
        <v>10</v>
      </c>
      <c r="I3" s="353" t="s">
        <v>72</v>
      </c>
      <c r="J3" s="353" t="s">
        <v>51</v>
      </c>
      <c r="K3" s="353" t="s">
        <v>21</v>
      </c>
      <c r="L3" s="353" t="s">
        <v>73</v>
      </c>
      <c r="M3" s="353" t="s">
        <v>74</v>
      </c>
      <c r="N3" s="353" t="s">
        <v>75</v>
      </c>
      <c r="O3" s="354" t="str">
        <f>payesh!D16</f>
        <v>عمر گروه از تاریخ تشکیل (افتتاح حساب پس انداز در بانک) به ماه</v>
      </c>
      <c r="P3" s="353" t="s">
        <v>53</v>
      </c>
      <c r="Q3" s="353" t="s">
        <v>54</v>
      </c>
      <c r="R3" s="353" t="s">
        <v>55</v>
      </c>
      <c r="S3" s="353" t="s">
        <v>303</v>
      </c>
      <c r="T3" s="353" t="s">
        <v>76</v>
      </c>
      <c r="U3" s="353" t="s">
        <v>304</v>
      </c>
      <c r="V3" s="353" t="s">
        <v>77</v>
      </c>
      <c r="W3" s="353" t="s">
        <v>78</v>
      </c>
      <c r="X3" s="353" t="s">
        <v>174</v>
      </c>
      <c r="Y3" s="353" t="s">
        <v>79</v>
      </c>
      <c r="Z3" s="353" t="s">
        <v>80</v>
      </c>
      <c r="AA3" s="353" t="s">
        <v>81</v>
      </c>
      <c r="AB3" s="353" t="s">
        <v>82</v>
      </c>
      <c r="AC3" s="353" t="s">
        <v>83</v>
      </c>
      <c r="AD3" s="353" t="s">
        <v>84</v>
      </c>
      <c r="AE3" s="353" t="s">
        <v>85</v>
      </c>
      <c r="AF3" s="353" t="s">
        <v>86</v>
      </c>
      <c r="AG3" s="353" t="s">
        <v>87</v>
      </c>
      <c r="AH3" s="353" t="s">
        <v>88</v>
      </c>
      <c r="AI3" s="353" t="s">
        <v>300</v>
      </c>
      <c r="AJ3" s="353" t="s">
        <v>301</v>
      </c>
      <c r="AK3" s="355" t="s">
        <v>302</v>
      </c>
    </row>
    <row r="4" spans="2:38" ht="18.75" thickBot="1" x14ac:dyDescent="0.3">
      <c r="B4" s="346">
        <f>payesh!E7</f>
        <v>1</v>
      </c>
      <c r="C4" s="334" t="str">
        <f>payesh!E3</f>
        <v>کردستان</v>
      </c>
      <c r="D4" s="334" t="str">
        <f>payesh!E4</f>
        <v>سنندج</v>
      </c>
      <c r="E4" s="334" t="str">
        <f>payesh!E5</f>
        <v>دادانه</v>
      </c>
      <c r="F4" s="334" t="str">
        <f>payesh!E6</f>
        <v>كاني بل</v>
      </c>
      <c r="G4" s="334" t="str">
        <f>payesh!E10</f>
        <v>انجمن بانوان به بان</v>
      </c>
      <c r="H4" s="334" t="str">
        <f>payesh!E13</f>
        <v>رزا بیگلری</v>
      </c>
      <c r="I4" s="335">
        <f>payesh!E14</f>
        <v>9395199953</v>
      </c>
      <c r="J4" s="334" t="str">
        <f>payesh!E9</f>
        <v>فرزین امانی</v>
      </c>
      <c r="K4" s="334" t="str">
        <f>payesh!E18</f>
        <v>پ 9</v>
      </c>
      <c r="L4" s="334" t="str">
        <f>payesh!E8</f>
        <v>فعال</v>
      </c>
      <c r="M4" s="334">
        <f>payesh!E46</f>
        <v>28</v>
      </c>
      <c r="N4" s="335">
        <f>payesh!E17</f>
        <v>776189617</v>
      </c>
      <c r="O4" s="335">
        <f>payesh!E16</f>
        <v>5</v>
      </c>
      <c r="P4" s="334" t="str">
        <f>payesh!E19</f>
        <v>فريبا زماني دادانه</v>
      </c>
      <c r="Q4" s="334" t="str">
        <f>payesh!E20</f>
        <v>كلثومه زماني دادانه</v>
      </c>
      <c r="R4" s="334" t="str">
        <f>payesh!E21</f>
        <v>گلنما زماني دادانه</v>
      </c>
      <c r="S4" s="334">
        <f>payesh!$E$55</f>
        <v>0</v>
      </c>
      <c r="T4" s="356">
        <f>payesh!E64</f>
        <v>0</v>
      </c>
      <c r="U4" s="334">
        <f>payesh!$E$56</f>
        <v>0</v>
      </c>
      <c r="V4" s="356">
        <f>payesh!E65</f>
        <v>0</v>
      </c>
      <c r="W4" s="334">
        <f>payesh!E78</f>
        <v>0</v>
      </c>
      <c r="X4" s="334">
        <f>payesh!E79</f>
        <v>0</v>
      </c>
      <c r="Y4" s="334">
        <f>payesh!$E$83</f>
        <v>0</v>
      </c>
      <c r="Z4" s="334">
        <f>payesh!$E$84</f>
        <v>0</v>
      </c>
      <c r="AA4" s="334">
        <f>payesh!E86</f>
        <v>0</v>
      </c>
      <c r="AB4" s="334">
        <f>payesh!E153</f>
        <v>0</v>
      </c>
      <c r="AC4" s="334">
        <f>payesh!E155</f>
        <v>0</v>
      </c>
      <c r="AD4" s="334">
        <f>payesh!E157</f>
        <v>0</v>
      </c>
      <c r="AE4" s="334">
        <f>payesh!E159</f>
        <v>0</v>
      </c>
      <c r="AF4" s="334">
        <f>payesh!E161</f>
        <v>0</v>
      </c>
      <c r="AG4" s="334">
        <f>payesh!E163</f>
        <v>0</v>
      </c>
      <c r="AH4" s="334">
        <f>payesh!E165</f>
        <v>0</v>
      </c>
      <c r="AI4" s="334">
        <f>payesh!E167</f>
        <v>0</v>
      </c>
      <c r="AJ4" s="334">
        <f>payesh!E169</f>
        <v>0</v>
      </c>
      <c r="AK4" s="337">
        <f>payesh!E171</f>
        <v>0</v>
      </c>
    </row>
    <row r="5" spans="2:38" ht="18.75" thickBot="1" x14ac:dyDescent="0.3">
      <c r="B5" s="339">
        <f>payesh!F7</f>
        <v>2</v>
      </c>
      <c r="C5" s="342" t="str">
        <f>payesh!F3</f>
        <v>کردستان</v>
      </c>
      <c r="D5" s="342" t="str">
        <f>payesh!F4</f>
        <v>سنندج</v>
      </c>
      <c r="E5" s="342" t="str">
        <f>payesh!F5</f>
        <v>دادانه</v>
      </c>
      <c r="F5" s="342" t="str">
        <f>payesh!F6</f>
        <v>ئالا</v>
      </c>
      <c r="G5" s="342" t="str">
        <f>payesh!F10</f>
        <v>انجمن بانوان به بان</v>
      </c>
      <c r="H5" s="342" t="str">
        <f>payesh!F13</f>
        <v>رزا بیگلری</v>
      </c>
      <c r="I5" s="343">
        <f>payesh!F14</f>
        <v>9186653066</v>
      </c>
      <c r="J5" s="342" t="str">
        <f>payesh!F9</f>
        <v>فرزین امانی</v>
      </c>
      <c r="K5" s="342" t="str">
        <f>payesh!F18</f>
        <v>ت 2</v>
      </c>
      <c r="L5" s="342" t="str">
        <f>payesh!F8</f>
        <v>فعال</v>
      </c>
      <c r="M5" s="342">
        <f>payesh!F46</f>
        <v>28</v>
      </c>
      <c r="N5" s="343">
        <f>payesh!F17</f>
        <v>784970930</v>
      </c>
      <c r="O5" s="343">
        <f>payesh!F16</f>
        <v>11</v>
      </c>
      <c r="P5" s="342" t="str">
        <f>payesh!F19</f>
        <v>حفصه زماني دادانه</v>
      </c>
      <c r="Q5" s="342" t="str">
        <f>payesh!F20</f>
        <v>هانيه زماني دادانه</v>
      </c>
      <c r="R5" s="342" t="str">
        <f>payesh!F21</f>
        <v>شبنم زماني دادانه</v>
      </c>
      <c r="S5" s="342">
        <f>payesh!$F$55</f>
        <v>1500000</v>
      </c>
      <c r="T5" s="357" t="str">
        <f>payesh!F64</f>
        <v>1395/03/28</v>
      </c>
      <c r="U5" s="342">
        <f>payesh!$F$56</f>
        <v>0</v>
      </c>
      <c r="V5" s="357">
        <f>payesh!F65</f>
        <v>0</v>
      </c>
      <c r="W5" s="342" t="str">
        <f>payesh!F78</f>
        <v>1395/02/13</v>
      </c>
      <c r="X5" s="342">
        <f>payesh!F79</f>
        <v>90</v>
      </c>
      <c r="Y5" s="342" t="str">
        <f>payesh!$F$83</f>
        <v>1395/02/29</v>
      </c>
      <c r="Z5" s="342">
        <f>payesh!$F$84</f>
        <v>77</v>
      </c>
      <c r="AA5" s="342">
        <f>payesh!F86</f>
        <v>210000000</v>
      </c>
      <c r="AB5" s="342">
        <f>payesh!F153</f>
        <v>0</v>
      </c>
      <c r="AC5" s="342">
        <f>payesh!F155</f>
        <v>0</v>
      </c>
      <c r="AD5" s="342">
        <f>payesh!F157</f>
        <v>0</v>
      </c>
      <c r="AE5" s="342">
        <f>payesh!F159</f>
        <v>0</v>
      </c>
      <c r="AF5" s="342">
        <f>payesh!F161</f>
        <v>0</v>
      </c>
      <c r="AG5" s="342">
        <f>payesh!F163</f>
        <v>0</v>
      </c>
      <c r="AH5" s="342">
        <f>payesh!F165</f>
        <v>0</v>
      </c>
      <c r="AI5" s="342">
        <f>payesh!F167</f>
        <v>0</v>
      </c>
      <c r="AJ5" s="342">
        <f>payesh!F169</f>
        <v>0</v>
      </c>
      <c r="AK5" s="345">
        <f>payesh!F171</f>
        <v>0</v>
      </c>
    </row>
    <row r="6" spans="2:38" ht="18.75" thickBot="1" x14ac:dyDescent="0.3">
      <c r="B6" s="346">
        <f>payesh!G7</f>
        <v>3</v>
      </c>
      <c r="C6" s="334" t="str">
        <f>payesh!G3</f>
        <v>کردستان</v>
      </c>
      <c r="D6" s="334" t="str">
        <f>payesh!G4</f>
        <v>سنندج</v>
      </c>
      <c r="E6" s="334" t="str">
        <f>payesh!G5</f>
        <v>دادانه</v>
      </c>
      <c r="F6" s="334" t="str">
        <f>payesh!G6</f>
        <v>باران</v>
      </c>
      <c r="G6" s="334" t="str">
        <f>payesh!G10</f>
        <v>انجمن بانوان به بان</v>
      </c>
      <c r="H6" s="334" t="str">
        <f>payesh!G13</f>
        <v>مهتاب جامه ساز</v>
      </c>
      <c r="I6" s="335">
        <f>payesh!G14</f>
        <v>9185210345</v>
      </c>
      <c r="J6" s="334" t="str">
        <f>payesh!G9</f>
        <v>فرزین امانی</v>
      </c>
      <c r="K6" s="334" t="str">
        <f>payesh!G18</f>
        <v>ت 2</v>
      </c>
      <c r="L6" s="334" t="str">
        <f>payesh!G8</f>
        <v>فعال</v>
      </c>
      <c r="M6" s="334">
        <f>payesh!G46</f>
        <v>25</v>
      </c>
      <c r="N6" s="335" t="str">
        <f>payesh!G17</f>
        <v>75630775-9</v>
      </c>
      <c r="O6" s="335">
        <f>payesh!G16</f>
        <v>11</v>
      </c>
      <c r="P6" s="334" t="str">
        <f>payesh!G19</f>
        <v>رويا مشايخي نيا</v>
      </c>
      <c r="Q6" s="334" t="str">
        <f>payesh!G20</f>
        <v>چنور محمدي</v>
      </c>
      <c r="R6" s="334" t="str">
        <f>payesh!G21</f>
        <v>سهيلا زماني</v>
      </c>
      <c r="S6" s="334">
        <f>payesh!$G$55</f>
        <v>1500000</v>
      </c>
      <c r="T6" s="356" t="str">
        <f>payesh!G64</f>
        <v>1395/03/28</v>
      </c>
      <c r="U6" s="334">
        <f>payesh!$G$56</f>
        <v>0</v>
      </c>
      <c r="V6" s="356">
        <f>payesh!G65</f>
        <v>0</v>
      </c>
      <c r="W6" s="334" t="str">
        <f>payesh!G78</f>
        <v>1395/02/13</v>
      </c>
      <c r="X6" s="334">
        <f>payesh!G79</f>
        <v>90</v>
      </c>
      <c r="Y6" s="334" t="str">
        <f>payesh!$G$83</f>
        <v>1395/02/29</v>
      </c>
      <c r="Z6" s="334">
        <f>payesh!$G$84</f>
        <v>75</v>
      </c>
      <c r="AA6" s="334">
        <f>payesh!G86</f>
        <v>225000000</v>
      </c>
      <c r="AB6" s="334">
        <f>payesh!G153</f>
        <v>0</v>
      </c>
      <c r="AC6" s="334">
        <f>payesh!G155</f>
        <v>0</v>
      </c>
      <c r="AD6" s="334">
        <f>payesh!G157</f>
        <v>0</v>
      </c>
      <c r="AE6" s="334">
        <f>payesh!G159</f>
        <v>0</v>
      </c>
      <c r="AF6" s="334">
        <f>payesh!G161</f>
        <v>0</v>
      </c>
      <c r="AG6" s="334">
        <f>payesh!G163</f>
        <v>0</v>
      </c>
      <c r="AH6" s="334">
        <f>payesh!G165</f>
        <v>0</v>
      </c>
      <c r="AI6" s="334">
        <f>payesh!G167</f>
        <v>0</v>
      </c>
      <c r="AJ6" s="334">
        <f>payesh!G169</f>
        <v>0</v>
      </c>
      <c r="AK6" s="337">
        <f>payesh!G171</f>
        <v>0</v>
      </c>
    </row>
    <row r="7" spans="2:38" ht="18.75" thickBot="1" x14ac:dyDescent="0.3">
      <c r="B7" s="339">
        <f>payesh!H7</f>
        <v>4</v>
      </c>
      <c r="C7" s="342" t="str">
        <f>payesh!H3</f>
        <v>کردستان</v>
      </c>
      <c r="D7" s="342" t="str">
        <f>payesh!H4</f>
        <v>سنندج</v>
      </c>
      <c r="E7" s="342" t="str">
        <f>payesh!H5</f>
        <v>زندان</v>
      </c>
      <c r="F7" s="342" t="str">
        <f>payesh!H6</f>
        <v>سربرزي</v>
      </c>
      <c r="G7" s="342" t="str">
        <f>payesh!H10</f>
        <v>انجمن بانوان به بان</v>
      </c>
      <c r="H7" s="342" t="str">
        <f>payesh!H13</f>
        <v>مهتاب جامه ساز</v>
      </c>
      <c r="I7" s="343">
        <f>payesh!H14</f>
        <v>9185210345</v>
      </c>
      <c r="J7" s="342" t="str">
        <f>payesh!H9</f>
        <v>فرزین امانی</v>
      </c>
      <c r="K7" s="342" t="str">
        <f>payesh!H18</f>
        <v>پ 9</v>
      </c>
      <c r="L7" s="342" t="str">
        <f>payesh!H8</f>
        <v>فعال</v>
      </c>
      <c r="M7" s="342">
        <f>payesh!H46</f>
        <v>27</v>
      </c>
      <c r="N7" s="343">
        <f>payesh!H17</f>
        <v>766526260</v>
      </c>
      <c r="O7" s="343">
        <f>payesh!H16</f>
        <v>1</v>
      </c>
      <c r="P7" s="342" t="str">
        <f>payesh!H19</f>
        <v>سيران خسروي</v>
      </c>
      <c r="Q7" s="342" t="str">
        <f>payesh!H20</f>
        <v>بهار خسروي</v>
      </c>
      <c r="R7" s="342" t="str">
        <f>payesh!H21</f>
        <v>چنور قادري</v>
      </c>
      <c r="S7" s="342">
        <f>payesh!$H$55</f>
        <v>0</v>
      </c>
      <c r="T7" s="357">
        <f>payesh!H64</f>
        <v>0</v>
      </c>
      <c r="U7" s="342">
        <f>payesh!$H$56</f>
        <v>0</v>
      </c>
      <c r="V7" s="357">
        <f>payesh!H65</f>
        <v>0</v>
      </c>
      <c r="W7" s="342">
        <f>payesh!H78</f>
        <v>0</v>
      </c>
      <c r="X7" s="342">
        <f>payesh!H79</f>
        <v>0</v>
      </c>
      <c r="Y7" s="342">
        <f>payesh!$H$83</f>
        <v>0</v>
      </c>
      <c r="Z7" s="342">
        <f>payesh!$H$84</f>
        <v>0</v>
      </c>
      <c r="AA7" s="342">
        <f>payesh!H86</f>
        <v>0</v>
      </c>
      <c r="AB7" s="342">
        <f>payesh!H153</f>
        <v>0</v>
      </c>
      <c r="AC7" s="342">
        <f>payesh!H155</f>
        <v>0</v>
      </c>
      <c r="AD7" s="342">
        <f>payesh!H157</f>
        <v>0</v>
      </c>
      <c r="AE7" s="342">
        <f>payesh!H159</f>
        <v>0</v>
      </c>
      <c r="AF7" s="342">
        <f>payesh!H161</f>
        <v>0</v>
      </c>
      <c r="AG7" s="342">
        <f>payesh!H163</f>
        <v>0</v>
      </c>
      <c r="AH7" s="342">
        <f>payesh!H165</f>
        <v>0</v>
      </c>
      <c r="AI7" s="342">
        <f>payesh!H167</f>
        <v>0</v>
      </c>
      <c r="AJ7" s="342">
        <f>payesh!H169</f>
        <v>0</v>
      </c>
      <c r="AK7" s="345">
        <f>payesh!H171</f>
        <v>0</v>
      </c>
    </row>
    <row r="8" spans="2:38" ht="18.75" thickBot="1" x14ac:dyDescent="0.3">
      <c r="B8" s="346">
        <f>payesh!I7</f>
        <v>5</v>
      </c>
      <c r="C8" s="334" t="str">
        <f>payesh!I3</f>
        <v>کردستان</v>
      </c>
      <c r="D8" s="334" t="str">
        <f>payesh!I4</f>
        <v>سنندج</v>
      </c>
      <c r="E8" s="334" t="str">
        <f>payesh!I5</f>
        <v>گندمان</v>
      </c>
      <c r="F8" s="334" t="str">
        <f>payesh!I6</f>
        <v>روژان</v>
      </c>
      <c r="G8" s="334" t="str">
        <f>payesh!I10</f>
        <v>انجمن بانوان به بان</v>
      </c>
      <c r="H8" s="334" t="str">
        <f>payesh!I13</f>
        <v>رزا بیگلری</v>
      </c>
      <c r="I8" s="335">
        <f>payesh!I14</f>
        <v>9186653066</v>
      </c>
      <c r="J8" s="334" t="str">
        <f>payesh!I9</f>
        <v>فرزین امانی</v>
      </c>
      <c r="K8" s="334" t="str">
        <f>payesh!I18</f>
        <v>پ 11</v>
      </c>
      <c r="L8" s="334" t="str">
        <f>payesh!I8</f>
        <v>فعال</v>
      </c>
      <c r="M8" s="334">
        <f>payesh!I46</f>
        <v>30</v>
      </c>
      <c r="N8" s="335">
        <f>payesh!I17</f>
        <v>750099196</v>
      </c>
      <c r="O8" s="335">
        <f>payesh!I16</f>
        <v>12</v>
      </c>
      <c r="P8" s="334" t="str">
        <f>payesh!I19</f>
        <v>ندا فلاح</v>
      </c>
      <c r="Q8" s="334" t="str">
        <f>payesh!I20</f>
        <v>نگار فلاح</v>
      </c>
      <c r="R8" s="334" t="str">
        <f>payesh!I21</f>
        <v>روژين حيدري</v>
      </c>
      <c r="S8" s="334">
        <f>payesh!$I$55</f>
        <v>1500000</v>
      </c>
      <c r="T8" s="356" t="str">
        <f>payesh!I64</f>
        <v>1394/07/07</v>
      </c>
      <c r="U8" s="334">
        <f>payesh!$I$56</f>
        <v>0</v>
      </c>
      <c r="V8" s="356" t="str">
        <f>payesh!I65</f>
        <v>1395/03/28</v>
      </c>
      <c r="W8" s="334" t="str">
        <f>payesh!I78</f>
        <v>1394/10/13</v>
      </c>
      <c r="X8" s="334">
        <f>payesh!I79</f>
        <v>86</v>
      </c>
      <c r="Y8" s="334" t="str">
        <f>payesh!$I$83</f>
        <v>1394/10/22</v>
      </c>
      <c r="Z8" s="334">
        <f>payesh!$I$84</f>
        <v>78</v>
      </c>
      <c r="AA8" s="334">
        <f>payesh!I86</f>
        <v>200000000</v>
      </c>
      <c r="AB8" s="334">
        <f>payesh!I153</f>
        <v>0</v>
      </c>
      <c r="AC8" s="334">
        <f>payesh!I155</f>
        <v>0</v>
      </c>
      <c r="AD8" s="334">
        <f>payesh!I157</f>
        <v>0</v>
      </c>
      <c r="AE8" s="334">
        <f>payesh!I159</f>
        <v>0</v>
      </c>
      <c r="AF8" s="334">
        <f>payesh!I161</f>
        <v>0</v>
      </c>
      <c r="AG8" s="334">
        <f>payesh!I163</f>
        <v>0</v>
      </c>
      <c r="AH8" s="334">
        <f>payesh!I165</f>
        <v>0</v>
      </c>
      <c r="AI8" s="334">
        <f>payesh!I167</f>
        <v>0</v>
      </c>
      <c r="AJ8" s="334">
        <f>payesh!I169</f>
        <v>0</v>
      </c>
      <c r="AK8" s="337">
        <f>payesh!I171</f>
        <v>0</v>
      </c>
    </row>
    <row r="9" spans="2:38" ht="18.75" thickBot="1" x14ac:dyDescent="0.3">
      <c r="B9" s="339">
        <f>payesh!J7</f>
        <v>6</v>
      </c>
      <c r="C9" s="342" t="str">
        <f>payesh!J3</f>
        <v>کردستان</v>
      </c>
      <c r="D9" s="342" t="str">
        <f>payesh!J4</f>
        <v>سنندج</v>
      </c>
      <c r="E9" s="342" t="str">
        <f>payesh!J5</f>
        <v>گندمان</v>
      </c>
      <c r="F9" s="342" t="str">
        <f>payesh!J6</f>
        <v>شقايق</v>
      </c>
      <c r="G9" s="342" t="str">
        <f>payesh!J10</f>
        <v>انجمن بانوان به بان</v>
      </c>
      <c r="H9" s="342" t="str">
        <f>payesh!J13</f>
        <v>رزا بیگلری</v>
      </c>
      <c r="I9" s="343">
        <f>payesh!J14</f>
        <v>9395199953</v>
      </c>
      <c r="J9" s="342" t="str">
        <f>payesh!J9</f>
        <v>فرزین امانی</v>
      </c>
      <c r="K9" s="342" t="str">
        <f>payesh!J18</f>
        <v>پ11</v>
      </c>
      <c r="L9" s="342" t="str">
        <f>payesh!J8</f>
        <v>فعال</v>
      </c>
      <c r="M9" s="342">
        <f>payesh!J46</f>
        <v>30</v>
      </c>
      <c r="N9" s="343" t="str">
        <f>payesh!J17</f>
        <v>74948494-4</v>
      </c>
      <c r="O9" s="343">
        <f>payesh!J16</f>
        <v>12</v>
      </c>
      <c r="P9" s="342" t="str">
        <f>payesh!J19</f>
        <v>مهتاب گويلي</v>
      </c>
      <c r="Q9" s="342" t="str">
        <f>payesh!J20</f>
        <v>سروه حيدري</v>
      </c>
      <c r="R9" s="342" t="str">
        <f>payesh!J21</f>
        <v>پريسا گويلي</v>
      </c>
      <c r="S9" s="342">
        <f>payesh!$J$55</f>
        <v>1500000</v>
      </c>
      <c r="T9" s="357" t="str">
        <f>payesh!J64</f>
        <v>1394/07/07</v>
      </c>
      <c r="U9" s="342">
        <f>payesh!$J$56</f>
        <v>0</v>
      </c>
      <c r="V9" s="357" t="str">
        <f>payesh!J65</f>
        <v>1395/03/28</v>
      </c>
      <c r="W9" s="342" t="str">
        <f>payesh!J78</f>
        <v>1394/10/13</v>
      </c>
      <c r="X9" s="342">
        <f>payesh!J79</f>
        <v>82</v>
      </c>
      <c r="Y9" s="342" t="str">
        <f>payesh!$J$83</f>
        <v>1394/10/22</v>
      </c>
      <c r="Z9" s="342">
        <f>payesh!$J$84</f>
        <v>69</v>
      </c>
      <c r="AA9" s="342">
        <f>payesh!J86</f>
        <v>185000000</v>
      </c>
      <c r="AB9" s="342">
        <f>payesh!J153</f>
        <v>0</v>
      </c>
      <c r="AC9" s="342">
        <f>payesh!J155</f>
        <v>0</v>
      </c>
      <c r="AD9" s="342">
        <f>payesh!J157</f>
        <v>0</v>
      </c>
      <c r="AE9" s="342">
        <f>payesh!J159</f>
        <v>0</v>
      </c>
      <c r="AF9" s="342">
        <f>payesh!J161</f>
        <v>0</v>
      </c>
      <c r="AG9" s="342">
        <f>payesh!J163</f>
        <v>0</v>
      </c>
      <c r="AH9" s="342">
        <f>payesh!J165</f>
        <v>0</v>
      </c>
      <c r="AI9" s="342">
        <f>payesh!J167</f>
        <v>0</v>
      </c>
      <c r="AJ9" s="342">
        <f>payesh!J169</f>
        <v>0</v>
      </c>
      <c r="AK9" s="345">
        <f>payesh!J171</f>
        <v>0</v>
      </c>
    </row>
    <row r="10" spans="2:38" ht="18.75" thickBot="1" x14ac:dyDescent="0.3">
      <c r="B10" s="346">
        <f>payesh!K7</f>
        <v>7</v>
      </c>
      <c r="C10" s="334" t="str">
        <f>payesh!K3</f>
        <v>کردستان</v>
      </c>
      <c r="D10" s="334" t="str">
        <f>payesh!K4</f>
        <v>سنندج</v>
      </c>
      <c r="E10" s="334" t="str">
        <f>payesh!K5</f>
        <v>نوره</v>
      </c>
      <c r="F10" s="334" t="str">
        <f>payesh!K6</f>
        <v>آگرين</v>
      </c>
      <c r="G10" s="334" t="str">
        <f>payesh!K10</f>
        <v>انجمن بانوان به بان</v>
      </c>
      <c r="H10" s="334" t="str">
        <f>payesh!K13</f>
        <v>رزا بیگلری</v>
      </c>
      <c r="I10" s="335">
        <f>payesh!K14</f>
        <v>9395199953</v>
      </c>
      <c r="J10" s="334" t="str">
        <f>payesh!K9</f>
        <v>فرزین امانی</v>
      </c>
      <c r="K10" s="334" t="str">
        <f>payesh!K18</f>
        <v>ت 2</v>
      </c>
      <c r="L10" s="334" t="str">
        <f>payesh!K8</f>
        <v>فعال</v>
      </c>
      <c r="M10" s="334">
        <f>payesh!K46</f>
        <v>23</v>
      </c>
      <c r="N10" s="335">
        <f>payesh!K17</f>
        <v>755556128</v>
      </c>
      <c r="O10" s="335">
        <f>payesh!K16</f>
        <v>12</v>
      </c>
      <c r="P10" s="334" t="str">
        <f>payesh!K19</f>
        <v>ريزان احمدي</v>
      </c>
      <c r="Q10" s="334" t="str">
        <f>payesh!K20</f>
        <v>شهلا صراحي</v>
      </c>
      <c r="R10" s="334" t="str">
        <f>payesh!K21</f>
        <v>كلثومه مجيدي</v>
      </c>
      <c r="S10" s="334">
        <f>payesh!$K$55</f>
        <v>1500000</v>
      </c>
      <c r="T10" s="356" t="str">
        <f>payesh!K64</f>
        <v>1395/03/28</v>
      </c>
      <c r="U10" s="334">
        <f>payesh!$K$56</f>
        <v>0</v>
      </c>
      <c r="V10" s="356">
        <f>payesh!K65</f>
        <v>0</v>
      </c>
      <c r="W10" s="334" t="str">
        <f>payesh!K78</f>
        <v>1395/02/13</v>
      </c>
      <c r="X10" s="334">
        <f>payesh!K79</f>
        <v>90</v>
      </c>
      <c r="Y10" s="334" t="str">
        <f>payesh!$K$83</f>
        <v>1395/02/23</v>
      </c>
      <c r="Z10" s="334">
        <f>payesh!$K$84</f>
        <v>78</v>
      </c>
      <c r="AA10" s="334">
        <f>payesh!K86</f>
        <v>240000000</v>
      </c>
      <c r="AB10" s="334">
        <f>payesh!K153</f>
        <v>0</v>
      </c>
      <c r="AC10" s="334">
        <f>payesh!K155</f>
        <v>0</v>
      </c>
      <c r="AD10" s="334">
        <f>payesh!K157</f>
        <v>0</v>
      </c>
      <c r="AE10" s="334">
        <f>payesh!K159</f>
        <v>0</v>
      </c>
      <c r="AF10" s="334">
        <f>payesh!K161</f>
        <v>0</v>
      </c>
      <c r="AG10" s="334">
        <f>payesh!K163</f>
        <v>0</v>
      </c>
      <c r="AH10" s="334">
        <f>payesh!K165</f>
        <v>0</v>
      </c>
      <c r="AI10" s="334">
        <f>payesh!K167</f>
        <v>0</v>
      </c>
      <c r="AJ10" s="334">
        <f>payesh!K169</f>
        <v>0</v>
      </c>
      <c r="AK10" s="337">
        <f>payesh!K171</f>
        <v>0</v>
      </c>
    </row>
    <row r="11" spans="2:38" ht="18.75" thickBot="1" x14ac:dyDescent="0.3">
      <c r="B11" s="339">
        <f>payesh!L7</f>
        <v>8</v>
      </c>
      <c r="C11" s="342" t="str">
        <f>payesh!L3</f>
        <v>کردستان</v>
      </c>
      <c r="D11" s="342" t="str">
        <f>payesh!L4</f>
        <v>سنندج</v>
      </c>
      <c r="E11" s="342" t="str">
        <f>payesh!L5</f>
        <v>نوره</v>
      </c>
      <c r="F11" s="342" t="str">
        <f>payesh!L6</f>
        <v>هاوين</v>
      </c>
      <c r="G11" s="342" t="str">
        <f>payesh!L10</f>
        <v>انجمن بانوان به بان</v>
      </c>
      <c r="H11" s="342" t="str">
        <f>payesh!L13</f>
        <v>رزا بیگلری</v>
      </c>
      <c r="I11" s="343">
        <f>payesh!L14</f>
        <v>9395199953</v>
      </c>
      <c r="J11" s="342" t="str">
        <f>payesh!L9</f>
        <v>فرزین امانی</v>
      </c>
      <c r="K11" s="342" t="str">
        <f>payesh!L18</f>
        <v>ت 2</v>
      </c>
      <c r="L11" s="342" t="str">
        <f>payesh!L8</f>
        <v>فعال</v>
      </c>
      <c r="M11" s="342">
        <f>payesh!L46</f>
        <v>23</v>
      </c>
      <c r="N11" s="343">
        <f>payesh!L17</f>
        <v>755553150</v>
      </c>
      <c r="O11" s="343">
        <f>payesh!L16</f>
        <v>12</v>
      </c>
      <c r="P11" s="342" t="str">
        <f>payesh!L19</f>
        <v>فاطمه حبيبي</v>
      </c>
      <c r="Q11" s="342" t="str">
        <f>payesh!L20</f>
        <v>سيران محمدي</v>
      </c>
      <c r="R11" s="342" t="str">
        <f>payesh!L21</f>
        <v>پرستو احمدي</v>
      </c>
      <c r="S11" s="342">
        <f>payesh!$L$55</f>
        <v>1500000</v>
      </c>
      <c r="T11" s="357" t="str">
        <f>payesh!L64</f>
        <v>1395/03/28</v>
      </c>
      <c r="U11" s="342">
        <f>payesh!$L$56</f>
        <v>0</v>
      </c>
      <c r="V11" s="357">
        <f>payesh!L65</f>
        <v>0</v>
      </c>
      <c r="W11" s="342" t="str">
        <f>payesh!L78</f>
        <v>1395/02/13</v>
      </c>
      <c r="X11" s="342">
        <f>payesh!L79</f>
        <v>90</v>
      </c>
      <c r="Y11" s="342" t="str">
        <f>payesh!$L$83</f>
        <v>1395/02/23</v>
      </c>
      <c r="Z11" s="342">
        <f>payesh!$L$84</f>
        <v>81</v>
      </c>
      <c r="AA11" s="342">
        <f>payesh!L86</f>
        <v>240000000</v>
      </c>
      <c r="AB11" s="342">
        <f>payesh!L153</f>
        <v>0</v>
      </c>
      <c r="AC11" s="342">
        <f>payesh!L155</f>
        <v>0</v>
      </c>
      <c r="AD11" s="342">
        <f>payesh!L157</f>
        <v>0</v>
      </c>
      <c r="AE11" s="342">
        <f>payesh!L159</f>
        <v>0</v>
      </c>
      <c r="AF11" s="342">
        <f>payesh!L161</f>
        <v>0</v>
      </c>
      <c r="AG11" s="342">
        <f>payesh!L163</f>
        <v>0</v>
      </c>
      <c r="AH11" s="342">
        <f>payesh!L165</f>
        <v>0</v>
      </c>
      <c r="AI11" s="342">
        <f>payesh!L167</f>
        <v>0</v>
      </c>
      <c r="AJ11" s="342">
        <f>payesh!L169</f>
        <v>0</v>
      </c>
      <c r="AK11" s="345">
        <f>payesh!L171</f>
        <v>0</v>
      </c>
    </row>
    <row r="12" spans="2:38" ht="18.75" thickBot="1" x14ac:dyDescent="0.3">
      <c r="B12" s="346">
        <f>payesh!M7</f>
        <v>9</v>
      </c>
      <c r="C12" s="334" t="str">
        <f>payesh!M3</f>
        <v>کردستان</v>
      </c>
      <c r="D12" s="334" t="str">
        <f>payesh!M4</f>
        <v>سنندج</v>
      </c>
      <c r="E12" s="334" t="str">
        <f>payesh!M5</f>
        <v>دادانه</v>
      </c>
      <c r="F12" s="334" t="str">
        <f>payesh!M6</f>
        <v>تريفه</v>
      </c>
      <c r="G12" s="334" t="str">
        <f>payesh!M10</f>
        <v>انجمن بانوان به بان</v>
      </c>
      <c r="H12" s="334" t="str">
        <f>payesh!M13</f>
        <v>رزا بیگلری</v>
      </c>
      <c r="I12" s="335">
        <f>payesh!M14</f>
        <v>9395199953</v>
      </c>
      <c r="J12" s="334" t="str">
        <f>payesh!M9</f>
        <v>فرزین امانی</v>
      </c>
      <c r="K12" s="334" t="str">
        <f>payesh!M18</f>
        <v>ت 2</v>
      </c>
      <c r="L12" s="334" t="str">
        <f>payesh!M8</f>
        <v>فعال</v>
      </c>
      <c r="M12" s="334">
        <f>payesh!M46</f>
        <v>25</v>
      </c>
      <c r="N12" s="335">
        <f>payesh!M17</f>
        <v>756748570</v>
      </c>
      <c r="O12" s="335">
        <f>payesh!M16</f>
        <v>11</v>
      </c>
      <c r="P12" s="334" t="str">
        <f>payesh!M19</f>
        <v>آمنه زماني</v>
      </c>
      <c r="Q12" s="334" t="str">
        <f>payesh!M20</f>
        <v>پرستو زماني</v>
      </c>
      <c r="R12" s="334" t="str">
        <f>payesh!M21</f>
        <v>فروزان زماني</v>
      </c>
      <c r="S12" s="334">
        <f>payesh!$M$55</f>
        <v>1500000</v>
      </c>
      <c r="T12" s="356" t="str">
        <f>payesh!M64</f>
        <v>1395/03/28</v>
      </c>
      <c r="U12" s="334">
        <f>payesh!$M$56</f>
        <v>0</v>
      </c>
      <c r="V12" s="356">
        <f>payesh!M65</f>
        <v>0</v>
      </c>
      <c r="W12" s="334" t="str">
        <f>payesh!M78</f>
        <v>1395/02/13</v>
      </c>
      <c r="X12" s="334">
        <f>payesh!M79</f>
        <v>90</v>
      </c>
      <c r="Y12" s="334" t="str">
        <f>payesh!$M$83</f>
        <v>1395/02/29</v>
      </c>
      <c r="Z12" s="334">
        <f>payesh!$M$84</f>
        <v>75</v>
      </c>
      <c r="AA12" s="334">
        <f>payesh!M86</f>
        <v>235000000</v>
      </c>
      <c r="AB12" s="334">
        <f>payesh!M153</f>
        <v>0</v>
      </c>
      <c r="AC12" s="334">
        <f>payesh!M155</f>
        <v>0</v>
      </c>
      <c r="AD12" s="334">
        <f>payesh!M157</f>
        <v>0</v>
      </c>
      <c r="AE12" s="334">
        <f>payesh!M159</f>
        <v>0</v>
      </c>
      <c r="AF12" s="334">
        <f>payesh!M161</f>
        <v>0</v>
      </c>
      <c r="AG12" s="334">
        <f>payesh!M163</f>
        <v>0</v>
      </c>
      <c r="AH12" s="334">
        <f>payesh!M165</f>
        <v>0</v>
      </c>
      <c r="AI12" s="334">
        <f>payesh!M167</f>
        <v>0</v>
      </c>
      <c r="AJ12" s="334">
        <f>payesh!M169</f>
        <v>0</v>
      </c>
      <c r="AK12" s="337">
        <f>payesh!M171</f>
        <v>0</v>
      </c>
    </row>
    <row r="13" spans="2:38" ht="18.75" thickBot="1" x14ac:dyDescent="0.3">
      <c r="B13" s="339">
        <f>payesh!N7</f>
        <v>10</v>
      </c>
      <c r="C13" s="342" t="str">
        <f>payesh!N3</f>
        <v>کردستان</v>
      </c>
      <c r="D13" s="342" t="str">
        <f>payesh!N4</f>
        <v>سنندج</v>
      </c>
      <c r="E13" s="342" t="str">
        <f>payesh!N5</f>
        <v>آویهنگ</v>
      </c>
      <c r="F13" s="342" t="str">
        <f>payesh!N6</f>
        <v>كوچكه سور</v>
      </c>
      <c r="G13" s="342" t="str">
        <f>payesh!N10</f>
        <v>انجمن بانوان به بان</v>
      </c>
      <c r="H13" s="342" t="str">
        <f>payesh!N13</f>
        <v>رزا بیگلری</v>
      </c>
      <c r="I13" s="343">
        <f>payesh!N14</f>
        <v>9395199953</v>
      </c>
      <c r="J13" s="342" t="str">
        <f>payesh!N9</f>
        <v>فرزین امانی</v>
      </c>
      <c r="K13" s="342" t="str">
        <f>payesh!N18</f>
        <v>پ 5</v>
      </c>
      <c r="L13" s="342" t="str">
        <f>payesh!N8</f>
        <v>فعال</v>
      </c>
      <c r="M13" s="342">
        <f>payesh!N46</f>
        <v>24</v>
      </c>
      <c r="N13" s="343">
        <f>payesh!N17</f>
        <v>784872173</v>
      </c>
      <c r="O13" s="343">
        <f>payesh!N16</f>
        <v>3</v>
      </c>
      <c r="P13" s="342" t="str">
        <f>payesh!N19</f>
        <v>سهيلا بهمني</v>
      </c>
      <c r="Q13" s="342" t="str">
        <f>payesh!N20</f>
        <v>فريبا قاسمي</v>
      </c>
      <c r="R13" s="342" t="str">
        <f>payesh!N21</f>
        <v>سميه الماسي</v>
      </c>
      <c r="S13" s="342">
        <f>payesh!$N$55</f>
        <v>0</v>
      </c>
      <c r="T13" s="357">
        <f>payesh!N64</f>
        <v>0</v>
      </c>
      <c r="U13" s="342">
        <f>payesh!$N$56</f>
        <v>0</v>
      </c>
      <c r="V13" s="357">
        <f>payesh!N65</f>
        <v>0</v>
      </c>
      <c r="W13" s="342">
        <f>payesh!N78</f>
        <v>0</v>
      </c>
      <c r="X13" s="342">
        <f>payesh!N79</f>
        <v>0</v>
      </c>
      <c r="Y13" s="342">
        <f>payesh!$N$83</f>
        <v>0</v>
      </c>
      <c r="Z13" s="342">
        <f>payesh!$N$84</f>
        <v>0</v>
      </c>
      <c r="AA13" s="342">
        <f>payesh!N86</f>
        <v>0</v>
      </c>
      <c r="AB13" s="342">
        <f>payesh!N153</f>
        <v>0</v>
      </c>
      <c r="AC13" s="342">
        <f>payesh!N155</f>
        <v>0</v>
      </c>
      <c r="AD13" s="342">
        <f>payesh!N157</f>
        <v>0</v>
      </c>
      <c r="AE13" s="342">
        <f>payesh!N159</f>
        <v>0</v>
      </c>
      <c r="AF13" s="342">
        <f>payesh!N161</f>
        <v>0</v>
      </c>
      <c r="AG13" s="342">
        <f>payesh!N163</f>
        <v>0</v>
      </c>
      <c r="AH13" s="342">
        <f>payesh!N165</f>
        <v>0</v>
      </c>
      <c r="AI13" s="342">
        <f>payesh!N167</f>
        <v>0</v>
      </c>
      <c r="AJ13" s="342">
        <f>payesh!N169</f>
        <v>0</v>
      </c>
      <c r="AK13" s="345">
        <f>payesh!N171</f>
        <v>0</v>
      </c>
    </row>
    <row r="14" spans="2:38" ht="18.75" thickBot="1" x14ac:dyDescent="0.3">
      <c r="B14" s="346">
        <f>payesh!O7</f>
        <v>11</v>
      </c>
      <c r="C14" s="334" t="str">
        <f>payesh!O3</f>
        <v>کردستان</v>
      </c>
      <c r="D14" s="334" t="str">
        <f>payesh!O4</f>
        <v>سنندج</v>
      </c>
      <c r="E14" s="334" t="str">
        <f>payesh!O5</f>
        <v>دادانه</v>
      </c>
      <c r="F14" s="334" t="str">
        <f>payesh!O6</f>
        <v>كاني ده</v>
      </c>
      <c r="G14" s="334" t="str">
        <f>payesh!O10</f>
        <v>انجمن بانوان به بان</v>
      </c>
      <c r="H14" s="334" t="str">
        <f>payesh!O13</f>
        <v>رزا بیگلری</v>
      </c>
      <c r="I14" s="335">
        <f>payesh!O14</f>
        <v>9395199953</v>
      </c>
      <c r="J14" s="334" t="str">
        <f>payesh!O9</f>
        <v>فرزین امانی</v>
      </c>
      <c r="K14" s="334" t="str">
        <f>payesh!O18</f>
        <v>ب 7</v>
      </c>
      <c r="L14" s="334" t="str">
        <f>payesh!O8</f>
        <v>فعال</v>
      </c>
      <c r="M14" s="334">
        <f>payesh!O46</f>
        <v>27</v>
      </c>
      <c r="N14" s="335">
        <f>payesh!O17</f>
        <v>787399393</v>
      </c>
      <c r="O14" s="335">
        <f>payesh!O16</f>
        <v>2</v>
      </c>
      <c r="P14" s="334" t="str">
        <f>payesh!O19</f>
        <v>نرگس زماني</v>
      </c>
      <c r="Q14" s="334" t="str">
        <f>payesh!O20</f>
        <v>ناديا زماني</v>
      </c>
      <c r="R14" s="334" t="str">
        <f>payesh!O21</f>
        <v>زيبا زماني</v>
      </c>
      <c r="S14" s="334">
        <f>payesh!$O$55</f>
        <v>0</v>
      </c>
      <c r="T14" s="356">
        <f>payesh!O64</f>
        <v>0</v>
      </c>
      <c r="U14" s="334">
        <f>payesh!$O$56</f>
        <v>0</v>
      </c>
      <c r="V14" s="356">
        <f>payesh!O65</f>
        <v>0</v>
      </c>
      <c r="W14" s="334">
        <f>payesh!O78</f>
        <v>0</v>
      </c>
      <c r="X14" s="334">
        <f>payesh!O79</f>
        <v>0</v>
      </c>
      <c r="Y14" s="334">
        <f>payesh!$O$83</f>
        <v>0</v>
      </c>
      <c r="Z14" s="334">
        <f>payesh!$O$84</f>
        <v>0</v>
      </c>
      <c r="AA14" s="334">
        <f>payesh!O86</f>
        <v>0</v>
      </c>
      <c r="AB14" s="334">
        <f>payesh!O153</f>
        <v>0</v>
      </c>
      <c r="AC14" s="334">
        <f>payesh!O155</f>
        <v>0</v>
      </c>
      <c r="AD14" s="334">
        <f>payesh!O157</f>
        <v>0</v>
      </c>
      <c r="AE14" s="334">
        <f>payesh!O159</f>
        <v>0</v>
      </c>
      <c r="AF14" s="334">
        <f>payesh!O161</f>
        <v>0</v>
      </c>
      <c r="AG14" s="334">
        <f>payesh!O163</f>
        <v>0</v>
      </c>
      <c r="AH14" s="334">
        <f>payesh!O165</f>
        <v>0</v>
      </c>
      <c r="AI14" s="334">
        <f>payesh!O167</f>
        <v>0</v>
      </c>
      <c r="AJ14" s="334">
        <f>payesh!O169</f>
        <v>0</v>
      </c>
      <c r="AK14" s="337">
        <f>payesh!O171</f>
        <v>0</v>
      </c>
    </row>
    <row r="15" spans="2:38" ht="18.75" thickBot="1" x14ac:dyDescent="0.3">
      <c r="B15" s="339">
        <f>payesh!P7</f>
        <v>12</v>
      </c>
      <c r="C15" s="342" t="str">
        <f>payesh!P3</f>
        <v>کردستان</v>
      </c>
      <c r="D15" s="342" t="str">
        <f>payesh!P4</f>
        <v>سنندج</v>
      </c>
      <c r="E15" s="342" t="str">
        <f>payesh!P5</f>
        <v>دادانه</v>
      </c>
      <c r="F15" s="342" t="str">
        <f>payesh!P6</f>
        <v>ئاويه‌ر</v>
      </c>
      <c r="G15" s="342" t="str">
        <f>payesh!P10</f>
        <v>انجمن بانوان به بان</v>
      </c>
      <c r="H15" s="342" t="str">
        <f>payesh!P13</f>
        <v>رزا بیگلری</v>
      </c>
      <c r="I15" s="343">
        <f>payesh!P14</f>
        <v>9395199953</v>
      </c>
      <c r="J15" s="342" t="str">
        <f>payesh!P9</f>
        <v>فرزین امانی</v>
      </c>
      <c r="K15" s="342" t="str">
        <f>payesh!P18</f>
        <v>پ 5</v>
      </c>
      <c r="L15" s="342" t="str">
        <f>payesh!P8</f>
        <v>فعال</v>
      </c>
      <c r="M15" s="342">
        <f>payesh!P46</f>
        <v>27</v>
      </c>
      <c r="N15" s="343">
        <f>payesh!P17</f>
        <v>790676306</v>
      </c>
      <c r="O15" s="343">
        <f>payesh!P16</f>
        <v>1</v>
      </c>
      <c r="P15" s="342" t="str">
        <f>payesh!P19</f>
        <v>فهيمه زماني</v>
      </c>
      <c r="Q15" s="342" t="str">
        <f>payesh!P20</f>
        <v>فرخنده زماني</v>
      </c>
      <c r="R15" s="342" t="str">
        <f>payesh!P21</f>
        <v>گلچهره زماني</v>
      </c>
      <c r="S15" s="342">
        <f>payesh!$P$55</f>
        <v>0</v>
      </c>
      <c r="T15" s="357">
        <f>payesh!P64</f>
        <v>0</v>
      </c>
      <c r="U15" s="342">
        <f>payesh!$P$56</f>
        <v>0</v>
      </c>
      <c r="V15" s="357">
        <f>payesh!P65</f>
        <v>0</v>
      </c>
      <c r="W15" s="342">
        <f>payesh!P78</f>
        <v>0</v>
      </c>
      <c r="X15" s="342">
        <f>payesh!P79</f>
        <v>0</v>
      </c>
      <c r="Y15" s="342">
        <f>payesh!$P$83</f>
        <v>0</v>
      </c>
      <c r="Z15" s="342">
        <f>payesh!$P$84</f>
        <v>0</v>
      </c>
      <c r="AA15" s="342">
        <f>payesh!P86</f>
        <v>0</v>
      </c>
      <c r="AB15" s="342">
        <f>payesh!P153</f>
        <v>0</v>
      </c>
      <c r="AC15" s="342">
        <f>payesh!P155</f>
        <v>0</v>
      </c>
      <c r="AD15" s="342">
        <f>payesh!P157</f>
        <v>0</v>
      </c>
      <c r="AE15" s="342">
        <f>payesh!P159</f>
        <v>0</v>
      </c>
      <c r="AF15" s="342">
        <f>payesh!P161</f>
        <v>0</v>
      </c>
      <c r="AG15" s="342">
        <f>payesh!P163</f>
        <v>0</v>
      </c>
      <c r="AH15" s="342">
        <f>payesh!P165</f>
        <v>0</v>
      </c>
      <c r="AI15" s="342">
        <f>payesh!P167</f>
        <v>0</v>
      </c>
      <c r="AJ15" s="342">
        <f>payesh!P169</f>
        <v>0</v>
      </c>
      <c r="AK15" s="345">
        <f>payesh!P171</f>
        <v>0</v>
      </c>
    </row>
    <row r="16" spans="2:38" ht="18.75" thickBot="1" x14ac:dyDescent="0.3">
      <c r="B16" s="346">
        <f>payesh!Q7</f>
        <v>13</v>
      </c>
      <c r="C16" s="334" t="str">
        <f>payesh!Q3</f>
        <v>کردستان</v>
      </c>
      <c r="D16" s="334" t="str">
        <f>payesh!Q4</f>
        <v>سنندج</v>
      </c>
      <c r="E16" s="334" t="str">
        <f>payesh!Q5</f>
        <v>نوره</v>
      </c>
      <c r="F16" s="334" t="str">
        <f>payesh!Q6</f>
        <v>سدنا</v>
      </c>
      <c r="G16" s="334" t="str">
        <f>payesh!Q10</f>
        <v>انجمن بانوان به بان</v>
      </c>
      <c r="H16" s="334" t="str">
        <f>payesh!Q13</f>
        <v>رزا بیگلری</v>
      </c>
      <c r="I16" s="335">
        <f>payesh!Q14</f>
        <v>9395199953</v>
      </c>
      <c r="J16" s="334" t="str">
        <f>payesh!Q9</f>
        <v>فرزین امانی</v>
      </c>
      <c r="K16" s="334" t="str">
        <f>payesh!Q18</f>
        <v>پ5</v>
      </c>
      <c r="L16" s="334" t="str">
        <f>payesh!Q8</f>
        <v>فعال</v>
      </c>
      <c r="M16" s="334">
        <f>payesh!Q46</f>
        <v>3</v>
      </c>
      <c r="N16" s="335">
        <f>payesh!Q17</f>
        <v>0</v>
      </c>
      <c r="O16" s="335">
        <f>payesh!Q16</f>
        <v>0</v>
      </c>
      <c r="P16" s="334" t="str">
        <f>payesh!Q19</f>
        <v>سرگل عبدالهي</v>
      </c>
      <c r="Q16" s="334" t="str">
        <f>payesh!Q20</f>
        <v>هايده محمدي</v>
      </c>
      <c r="R16" s="334" t="str">
        <f>payesh!Q21</f>
        <v>مرواريد زماني</v>
      </c>
      <c r="S16" s="334">
        <f>payesh!$Q$55</f>
        <v>0</v>
      </c>
      <c r="T16" s="356">
        <f>payesh!Q64</f>
        <v>0</v>
      </c>
      <c r="U16" s="334">
        <f>payesh!$Q$56</f>
        <v>0</v>
      </c>
      <c r="V16" s="356">
        <f>payesh!Q65</f>
        <v>0</v>
      </c>
      <c r="W16" s="334">
        <f>payesh!Q78</f>
        <v>0</v>
      </c>
      <c r="X16" s="334">
        <f>payesh!Q79</f>
        <v>0</v>
      </c>
      <c r="Y16" s="334">
        <f>payesh!$Q$83</f>
        <v>0</v>
      </c>
      <c r="Z16" s="334">
        <f>payesh!$Q$84</f>
        <v>0</v>
      </c>
      <c r="AA16" s="334">
        <f>payesh!Q86</f>
        <v>0</v>
      </c>
      <c r="AB16" s="334">
        <f>payesh!Q153</f>
        <v>0</v>
      </c>
      <c r="AC16" s="334">
        <f>payesh!Q155</f>
        <v>0</v>
      </c>
      <c r="AD16" s="334">
        <f>payesh!Q157</f>
        <v>0</v>
      </c>
      <c r="AE16" s="334">
        <f>payesh!Q159</f>
        <v>0</v>
      </c>
      <c r="AF16" s="334">
        <f>payesh!Q161</f>
        <v>0</v>
      </c>
      <c r="AG16" s="334">
        <f>payesh!Q163</f>
        <v>0</v>
      </c>
      <c r="AH16" s="334">
        <f>payesh!Q165</f>
        <v>0</v>
      </c>
      <c r="AI16" s="334">
        <f>payesh!Q167</f>
        <v>0</v>
      </c>
      <c r="AJ16" s="334">
        <f>payesh!Q169</f>
        <v>0</v>
      </c>
      <c r="AK16" s="337">
        <f>payesh!Q171</f>
        <v>0</v>
      </c>
    </row>
    <row r="17" spans="2:37" ht="18.75" thickBot="1" x14ac:dyDescent="0.3">
      <c r="B17" s="339">
        <f>payesh!R7</f>
        <v>14</v>
      </c>
      <c r="C17" s="342" t="str">
        <f>payesh!R3</f>
        <v>کردستان</v>
      </c>
      <c r="D17" s="342" t="str">
        <f>payesh!R4</f>
        <v>سنندج</v>
      </c>
      <c r="E17" s="342" t="str">
        <f>payesh!R5</f>
        <v>چنو</v>
      </c>
      <c r="F17" s="342" t="str">
        <f>payesh!R6</f>
        <v>هورام</v>
      </c>
      <c r="G17" s="342" t="str">
        <f>payesh!R10</f>
        <v>انجمن بانوان به بان</v>
      </c>
      <c r="H17" s="342" t="str">
        <f>payesh!R13</f>
        <v>رزا بیگلری</v>
      </c>
      <c r="I17" s="343">
        <f>payesh!R14</f>
        <v>0</v>
      </c>
      <c r="J17" s="342" t="str">
        <f>payesh!R9</f>
        <v>فرزین امانی</v>
      </c>
      <c r="K17" s="342" t="str">
        <f>payesh!R18</f>
        <v>پ5</v>
      </c>
      <c r="L17" s="342" t="str">
        <f>payesh!R8</f>
        <v>فعال</v>
      </c>
      <c r="M17" s="342">
        <f>payesh!R46</f>
        <v>0</v>
      </c>
      <c r="N17" s="343">
        <f>payesh!R17</f>
        <v>751020192</v>
      </c>
      <c r="O17" s="343">
        <f>payesh!R16</f>
        <v>0</v>
      </c>
      <c r="P17" s="342" t="str">
        <f>payesh!R19</f>
        <v>حیران محمدی</v>
      </c>
      <c r="Q17" s="342" t="str">
        <f>payesh!R20</f>
        <v>ثریا برزنجه</v>
      </c>
      <c r="R17" s="342" t="str">
        <f>payesh!R21</f>
        <v>کتان وفایی</v>
      </c>
      <c r="S17" s="342">
        <f>payesh!$R$55</f>
        <v>0</v>
      </c>
      <c r="T17" s="357" t="str">
        <f>payesh!R64</f>
        <v>1395/03/28</v>
      </c>
      <c r="U17" s="342">
        <f>payesh!$R$56</f>
        <v>0</v>
      </c>
      <c r="V17" s="357" t="str">
        <f>payesh!R65</f>
        <v>1395/03/28</v>
      </c>
      <c r="W17" s="342">
        <f>payesh!R78</f>
        <v>0</v>
      </c>
      <c r="X17" s="342">
        <f>payesh!R79</f>
        <v>0</v>
      </c>
      <c r="Y17" s="342" t="str">
        <f>payesh!$R$83</f>
        <v>1394/10/22</v>
      </c>
      <c r="Z17" s="342">
        <f>payesh!$R$84</f>
        <v>73</v>
      </c>
      <c r="AA17" s="342">
        <f>payesh!R86</f>
        <v>210000000</v>
      </c>
      <c r="AB17" s="342">
        <f>payesh!R153</f>
        <v>0</v>
      </c>
      <c r="AC17" s="342">
        <f>payesh!R155</f>
        <v>0</v>
      </c>
      <c r="AD17" s="342">
        <f>payesh!R157</f>
        <v>0</v>
      </c>
      <c r="AE17" s="342">
        <f>payesh!R159</f>
        <v>0</v>
      </c>
      <c r="AF17" s="342">
        <f>payesh!R161</f>
        <v>0</v>
      </c>
      <c r="AG17" s="342">
        <f>payesh!R163</f>
        <v>0</v>
      </c>
      <c r="AH17" s="342">
        <f>payesh!R165</f>
        <v>0</v>
      </c>
      <c r="AI17" s="342">
        <f>payesh!R167</f>
        <v>0</v>
      </c>
      <c r="AJ17" s="342">
        <f>payesh!R169</f>
        <v>0</v>
      </c>
      <c r="AK17" s="345">
        <f>payesh!R171</f>
        <v>0</v>
      </c>
    </row>
    <row r="18" spans="2:37" ht="18.75" thickBot="1" x14ac:dyDescent="0.3">
      <c r="B18" s="346">
        <f>payesh!S7</f>
        <v>15</v>
      </c>
      <c r="C18" s="334">
        <f>payesh!S3</f>
        <v>0</v>
      </c>
      <c r="D18" s="334">
        <f>payesh!S4</f>
        <v>0</v>
      </c>
      <c r="E18" s="334">
        <f>payesh!S5</f>
        <v>0</v>
      </c>
      <c r="F18" s="334">
        <f>payesh!S6</f>
        <v>0</v>
      </c>
      <c r="G18" s="334">
        <f>payesh!S10</f>
        <v>0</v>
      </c>
      <c r="H18" s="334">
        <f>payesh!S13</f>
        <v>0</v>
      </c>
      <c r="I18" s="335">
        <f>payesh!S14</f>
        <v>0</v>
      </c>
      <c r="J18" s="334">
        <f>payesh!S9</f>
        <v>0</v>
      </c>
      <c r="K18" s="334">
        <f>payesh!S18</f>
        <v>0</v>
      </c>
      <c r="L18" s="334">
        <f>payesh!S8</f>
        <v>0</v>
      </c>
      <c r="M18" s="334">
        <f>payesh!S46</f>
        <v>0</v>
      </c>
      <c r="N18" s="335">
        <f>payesh!S17</f>
        <v>0</v>
      </c>
      <c r="O18" s="335">
        <f>payesh!S16</f>
        <v>0</v>
      </c>
      <c r="P18" s="334">
        <f>payesh!S19</f>
        <v>0</v>
      </c>
      <c r="Q18" s="334">
        <f>payesh!S20</f>
        <v>0</v>
      </c>
      <c r="R18" s="334">
        <f>payesh!S21</f>
        <v>0</v>
      </c>
      <c r="S18" s="334">
        <f>payesh!$S$55</f>
        <v>0</v>
      </c>
      <c r="T18" s="356">
        <f>payesh!S64</f>
        <v>0</v>
      </c>
      <c r="U18" s="334">
        <f>payesh!$S$56</f>
        <v>0</v>
      </c>
      <c r="V18" s="356">
        <f>payesh!S65</f>
        <v>0</v>
      </c>
      <c r="W18" s="334">
        <f>payesh!S78</f>
        <v>0</v>
      </c>
      <c r="X18" s="334">
        <f>payesh!S79</f>
        <v>0</v>
      </c>
      <c r="Y18" s="334">
        <f>payesh!$S$83</f>
        <v>0</v>
      </c>
      <c r="Z18" s="334">
        <f>payesh!$S$84</f>
        <v>0</v>
      </c>
      <c r="AA18" s="334">
        <f>payesh!S86</f>
        <v>0</v>
      </c>
      <c r="AB18" s="334">
        <f>payesh!S153</f>
        <v>0</v>
      </c>
      <c r="AC18" s="334">
        <f>payesh!S155</f>
        <v>0</v>
      </c>
      <c r="AD18" s="334">
        <f>payesh!S157</f>
        <v>0</v>
      </c>
      <c r="AE18" s="334">
        <f>payesh!S159</f>
        <v>0</v>
      </c>
      <c r="AF18" s="334">
        <f>payesh!S161</f>
        <v>0</v>
      </c>
      <c r="AG18" s="334">
        <f>payesh!S163</f>
        <v>0</v>
      </c>
      <c r="AH18" s="334">
        <f>payesh!S165</f>
        <v>0</v>
      </c>
      <c r="AI18" s="334">
        <f>payesh!S167</f>
        <v>0</v>
      </c>
      <c r="AJ18" s="334">
        <f>payesh!S169</f>
        <v>0</v>
      </c>
      <c r="AK18" s="337">
        <f>payesh!S171</f>
        <v>0</v>
      </c>
    </row>
    <row r="19" spans="2:37" ht="18.75" thickBot="1" x14ac:dyDescent="0.3">
      <c r="B19" s="339">
        <f>payesh!T7</f>
        <v>16</v>
      </c>
      <c r="C19" s="342">
        <f>payesh!T3</f>
        <v>0</v>
      </c>
      <c r="D19" s="342">
        <f>payesh!T4</f>
        <v>0</v>
      </c>
      <c r="E19" s="342">
        <f>payesh!T5</f>
        <v>0</v>
      </c>
      <c r="F19" s="342">
        <f>payesh!T6</f>
        <v>0</v>
      </c>
      <c r="G19" s="342">
        <f>payesh!T10</f>
        <v>0</v>
      </c>
      <c r="H19" s="342">
        <f>payesh!T13</f>
        <v>0</v>
      </c>
      <c r="I19" s="343">
        <f>payesh!T14</f>
        <v>0</v>
      </c>
      <c r="J19" s="342">
        <f>payesh!T9</f>
        <v>0</v>
      </c>
      <c r="K19" s="342">
        <f>payesh!T18</f>
        <v>0</v>
      </c>
      <c r="L19" s="342">
        <f>payesh!T8</f>
        <v>0</v>
      </c>
      <c r="M19" s="342">
        <f>payesh!T46</f>
        <v>0</v>
      </c>
      <c r="N19" s="343">
        <f>payesh!T17</f>
        <v>0</v>
      </c>
      <c r="O19" s="343">
        <f>payesh!T16</f>
        <v>0</v>
      </c>
      <c r="P19" s="342">
        <f>payesh!T19</f>
        <v>0</v>
      </c>
      <c r="Q19" s="342">
        <f>payesh!T20</f>
        <v>0</v>
      </c>
      <c r="R19" s="342">
        <f>payesh!T21</f>
        <v>0</v>
      </c>
      <c r="S19" s="342">
        <f>payesh!$T$55</f>
        <v>0</v>
      </c>
      <c r="T19" s="357">
        <f>payesh!T64</f>
        <v>0</v>
      </c>
      <c r="U19" s="342">
        <f>payesh!$T$56</f>
        <v>0</v>
      </c>
      <c r="V19" s="357">
        <f>payesh!T65</f>
        <v>0</v>
      </c>
      <c r="W19" s="342">
        <f>payesh!T78</f>
        <v>0</v>
      </c>
      <c r="X19" s="342">
        <f>payesh!T79</f>
        <v>0</v>
      </c>
      <c r="Y19" s="342">
        <f>payesh!$T$83</f>
        <v>0</v>
      </c>
      <c r="Z19" s="342">
        <f>payesh!$T$84</f>
        <v>0</v>
      </c>
      <c r="AA19" s="342">
        <f>payesh!T86</f>
        <v>0</v>
      </c>
      <c r="AB19" s="342">
        <f>payesh!T153</f>
        <v>0</v>
      </c>
      <c r="AC19" s="342">
        <f>payesh!T155</f>
        <v>0</v>
      </c>
      <c r="AD19" s="342">
        <f>payesh!T157</f>
        <v>0</v>
      </c>
      <c r="AE19" s="342">
        <f>payesh!T159</f>
        <v>0</v>
      </c>
      <c r="AF19" s="342">
        <f>payesh!T161</f>
        <v>0</v>
      </c>
      <c r="AG19" s="342">
        <f>payesh!T163</f>
        <v>0</v>
      </c>
      <c r="AH19" s="342">
        <f>payesh!T165</f>
        <v>0</v>
      </c>
      <c r="AI19" s="342">
        <f>payesh!T167</f>
        <v>0</v>
      </c>
      <c r="AJ19" s="342">
        <f>payesh!T169</f>
        <v>0</v>
      </c>
      <c r="AK19" s="345">
        <f>payesh!T171</f>
        <v>0</v>
      </c>
    </row>
    <row r="20" spans="2:37" ht="18.75" thickBot="1" x14ac:dyDescent="0.3">
      <c r="B20" s="346">
        <f>payesh!U7</f>
        <v>17</v>
      </c>
      <c r="C20" s="334">
        <f>payesh!U3</f>
        <v>0</v>
      </c>
      <c r="D20" s="334">
        <f>payesh!U4</f>
        <v>0</v>
      </c>
      <c r="E20" s="334">
        <f>payesh!U5</f>
        <v>0</v>
      </c>
      <c r="F20" s="334">
        <f>payesh!U6</f>
        <v>0</v>
      </c>
      <c r="G20" s="334">
        <f>payesh!U10</f>
        <v>0</v>
      </c>
      <c r="H20" s="334">
        <f>payesh!U13</f>
        <v>0</v>
      </c>
      <c r="I20" s="335">
        <f>payesh!U14</f>
        <v>0</v>
      </c>
      <c r="J20" s="334">
        <f>payesh!U9</f>
        <v>0</v>
      </c>
      <c r="K20" s="334">
        <f>payesh!U18</f>
        <v>0</v>
      </c>
      <c r="L20" s="334">
        <f>payesh!U8</f>
        <v>0</v>
      </c>
      <c r="M20" s="334">
        <f>payesh!U46</f>
        <v>0</v>
      </c>
      <c r="N20" s="335">
        <f>payesh!U17</f>
        <v>0</v>
      </c>
      <c r="O20" s="335">
        <f>payesh!U16</f>
        <v>0</v>
      </c>
      <c r="P20" s="334">
        <f>payesh!U19</f>
        <v>0</v>
      </c>
      <c r="Q20" s="334">
        <f>payesh!U20</f>
        <v>0</v>
      </c>
      <c r="R20" s="334">
        <f>payesh!U21</f>
        <v>0</v>
      </c>
      <c r="S20" s="334">
        <f>payesh!$U$55</f>
        <v>0</v>
      </c>
      <c r="T20" s="356">
        <f>payesh!U64</f>
        <v>0</v>
      </c>
      <c r="U20" s="334">
        <f>payesh!$U$56</f>
        <v>0</v>
      </c>
      <c r="V20" s="356">
        <f>payesh!U65</f>
        <v>0</v>
      </c>
      <c r="W20" s="334">
        <f>payesh!U78</f>
        <v>0</v>
      </c>
      <c r="X20" s="334">
        <f>payesh!U79</f>
        <v>0</v>
      </c>
      <c r="Y20" s="334">
        <f>payesh!$U$83</f>
        <v>0</v>
      </c>
      <c r="Z20" s="334">
        <f>payesh!$U$84</f>
        <v>0</v>
      </c>
      <c r="AA20" s="334">
        <f>payesh!U86</f>
        <v>0</v>
      </c>
      <c r="AB20" s="334">
        <f>payesh!U153</f>
        <v>0</v>
      </c>
      <c r="AC20" s="334">
        <f>payesh!U155</f>
        <v>0</v>
      </c>
      <c r="AD20" s="334">
        <f>payesh!U157</f>
        <v>0</v>
      </c>
      <c r="AE20" s="334">
        <f>payesh!U159</f>
        <v>0</v>
      </c>
      <c r="AF20" s="334">
        <f>payesh!U161</f>
        <v>0</v>
      </c>
      <c r="AG20" s="334">
        <f>payesh!U163</f>
        <v>0</v>
      </c>
      <c r="AH20" s="334">
        <f>payesh!U165</f>
        <v>0</v>
      </c>
      <c r="AI20" s="334">
        <f>payesh!U167</f>
        <v>0</v>
      </c>
      <c r="AJ20" s="334">
        <f>payesh!U169</f>
        <v>0</v>
      </c>
      <c r="AK20" s="337">
        <f>payesh!U171</f>
        <v>0</v>
      </c>
    </row>
    <row r="21" spans="2:37" ht="18.75" thickBot="1" x14ac:dyDescent="0.3">
      <c r="B21" s="339">
        <f>payesh!V7</f>
        <v>18</v>
      </c>
      <c r="C21" s="342">
        <f>payesh!V3</f>
        <v>0</v>
      </c>
      <c r="D21" s="342">
        <f>payesh!V4</f>
        <v>0</v>
      </c>
      <c r="E21" s="342">
        <f>payesh!V5</f>
        <v>0</v>
      </c>
      <c r="F21" s="342">
        <f>payesh!V6</f>
        <v>0</v>
      </c>
      <c r="G21" s="342">
        <f>payesh!V10</f>
        <v>0</v>
      </c>
      <c r="H21" s="342">
        <f>payesh!V13</f>
        <v>0</v>
      </c>
      <c r="I21" s="343">
        <f>payesh!V14</f>
        <v>0</v>
      </c>
      <c r="J21" s="342">
        <f>payesh!V9</f>
        <v>0</v>
      </c>
      <c r="K21" s="342">
        <f>payesh!V18</f>
        <v>0</v>
      </c>
      <c r="L21" s="342">
        <f>payesh!V8</f>
        <v>0</v>
      </c>
      <c r="M21" s="342">
        <f>payesh!V46</f>
        <v>0</v>
      </c>
      <c r="N21" s="343">
        <f>payesh!V17</f>
        <v>0</v>
      </c>
      <c r="O21" s="343">
        <f>payesh!V16</f>
        <v>0</v>
      </c>
      <c r="P21" s="342">
        <f>payesh!V19</f>
        <v>0</v>
      </c>
      <c r="Q21" s="342">
        <f>payesh!V20</f>
        <v>0</v>
      </c>
      <c r="R21" s="342">
        <f>payesh!V21</f>
        <v>0</v>
      </c>
      <c r="S21" s="342">
        <f>payesh!$V$55</f>
        <v>0</v>
      </c>
      <c r="T21" s="357">
        <f>payesh!V64</f>
        <v>0</v>
      </c>
      <c r="U21" s="342">
        <f>payesh!$V$56</f>
        <v>0</v>
      </c>
      <c r="V21" s="357">
        <f>payesh!V65</f>
        <v>0</v>
      </c>
      <c r="W21" s="342">
        <f>payesh!V78</f>
        <v>0</v>
      </c>
      <c r="X21" s="342">
        <f>payesh!V79</f>
        <v>0</v>
      </c>
      <c r="Y21" s="342">
        <f>payesh!$V$83</f>
        <v>0</v>
      </c>
      <c r="Z21" s="342">
        <f>payesh!$V$84</f>
        <v>0</v>
      </c>
      <c r="AA21" s="342">
        <f>payesh!V86</f>
        <v>0</v>
      </c>
      <c r="AB21" s="342">
        <f>payesh!V153</f>
        <v>0</v>
      </c>
      <c r="AC21" s="342">
        <f>payesh!V155</f>
        <v>0</v>
      </c>
      <c r="AD21" s="342">
        <f>payesh!V157</f>
        <v>0</v>
      </c>
      <c r="AE21" s="342">
        <f>payesh!V159</f>
        <v>0</v>
      </c>
      <c r="AF21" s="342">
        <f>payesh!V161</f>
        <v>0</v>
      </c>
      <c r="AG21" s="342">
        <f>payesh!V163</f>
        <v>0</v>
      </c>
      <c r="AH21" s="342">
        <f>payesh!V165</f>
        <v>0</v>
      </c>
      <c r="AI21" s="342">
        <f>payesh!V167</f>
        <v>0</v>
      </c>
      <c r="AJ21" s="342">
        <f>payesh!V169</f>
        <v>0</v>
      </c>
      <c r="AK21" s="345">
        <f>payesh!V171</f>
        <v>0</v>
      </c>
    </row>
    <row r="22" spans="2:37" ht="18.75" thickBot="1" x14ac:dyDescent="0.3">
      <c r="B22" s="346">
        <f>payesh!W7</f>
        <v>19</v>
      </c>
      <c r="C22" s="334">
        <f>payesh!X3</f>
        <v>0</v>
      </c>
      <c r="D22" s="334">
        <f>payesh!W4</f>
        <v>0</v>
      </c>
      <c r="E22" s="334">
        <f>payesh!W5</f>
        <v>0</v>
      </c>
      <c r="F22" s="334">
        <f>payesh!W6</f>
        <v>0</v>
      </c>
      <c r="G22" s="334">
        <f>payesh!W10</f>
        <v>0</v>
      </c>
      <c r="H22" s="334">
        <f>payesh!W13</f>
        <v>0</v>
      </c>
      <c r="I22" s="335">
        <f>payesh!W14</f>
        <v>0</v>
      </c>
      <c r="J22" s="334">
        <f>payesh!W9</f>
        <v>0</v>
      </c>
      <c r="K22" s="334">
        <f>payesh!W18</f>
        <v>0</v>
      </c>
      <c r="L22" s="334">
        <f>payesh!W8</f>
        <v>0</v>
      </c>
      <c r="M22" s="334">
        <f>payesh!W46</f>
        <v>0</v>
      </c>
      <c r="N22" s="335">
        <f>payesh!W17</f>
        <v>0</v>
      </c>
      <c r="O22" s="335">
        <f>payesh!W16</f>
        <v>0</v>
      </c>
      <c r="P22" s="334">
        <f>payesh!W19</f>
        <v>0</v>
      </c>
      <c r="Q22" s="334">
        <f>payesh!W20</f>
        <v>0</v>
      </c>
      <c r="R22" s="334">
        <f>payesh!W21</f>
        <v>0</v>
      </c>
      <c r="S22" s="334">
        <f>payesh!$W$55</f>
        <v>0</v>
      </c>
      <c r="T22" s="356">
        <f>payesh!W64</f>
        <v>0</v>
      </c>
      <c r="U22" s="334">
        <f>payesh!$W$56</f>
        <v>0</v>
      </c>
      <c r="V22" s="356">
        <f>payesh!W65</f>
        <v>0</v>
      </c>
      <c r="W22" s="334">
        <f>payesh!W78</f>
        <v>0</v>
      </c>
      <c r="X22" s="334">
        <f>payesh!W79</f>
        <v>0</v>
      </c>
      <c r="Y22" s="334">
        <f>payesh!$W$83</f>
        <v>0</v>
      </c>
      <c r="Z22" s="334">
        <f>payesh!$W$84</f>
        <v>0</v>
      </c>
      <c r="AA22" s="334">
        <f>payesh!W86</f>
        <v>0</v>
      </c>
      <c r="AB22" s="334">
        <f>payesh!W153</f>
        <v>0</v>
      </c>
      <c r="AC22" s="334">
        <f>payesh!W155</f>
        <v>0</v>
      </c>
      <c r="AD22" s="334">
        <f>payesh!W157</f>
        <v>0</v>
      </c>
      <c r="AE22" s="334">
        <f>payesh!W159</f>
        <v>0</v>
      </c>
      <c r="AF22" s="334">
        <f>payesh!W161</f>
        <v>0</v>
      </c>
      <c r="AG22" s="334">
        <f>payesh!W163</f>
        <v>0</v>
      </c>
      <c r="AH22" s="334">
        <f>payesh!W165</f>
        <v>0</v>
      </c>
      <c r="AI22" s="334">
        <f>payesh!W167</f>
        <v>0</v>
      </c>
      <c r="AJ22" s="334">
        <f>payesh!W169</f>
        <v>0</v>
      </c>
      <c r="AK22" s="337">
        <f>payesh!W171</f>
        <v>0</v>
      </c>
    </row>
    <row r="23" spans="2:37" ht="18.75" thickBot="1" x14ac:dyDescent="0.3">
      <c r="B23" s="339">
        <f>payesh!X7</f>
        <v>20</v>
      </c>
      <c r="C23" s="342">
        <f>payesh!X3</f>
        <v>0</v>
      </c>
      <c r="D23" s="342">
        <f>payesh!X4</f>
        <v>0</v>
      </c>
      <c r="E23" s="342">
        <f>payesh!X5</f>
        <v>0</v>
      </c>
      <c r="F23" s="342">
        <f>payesh!X6</f>
        <v>0</v>
      </c>
      <c r="G23" s="342">
        <f>payesh!X10</f>
        <v>0</v>
      </c>
      <c r="H23" s="342">
        <f>payesh!X13</f>
        <v>0</v>
      </c>
      <c r="I23" s="343">
        <f>payesh!X14</f>
        <v>0</v>
      </c>
      <c r="J23" s="342">
        <f>payesh!X9</f>
        <v>0</v>
      </c>
      <c r="K23" s="342">
        <f>payesh!X18</f>
        <v>0</v>
      </c>
      <c r="L23" s="342">
        <f>payesh!X8</f>
        <v>0</v>
      </c>
      <c r="M23" s="342">
        <f>payesh!X46</f>
        <v>0</v>
      </c>
      <c r="N23" s="343">
        <f>payesh!X17</f>
        <v>0</v>
      </c>
      <c r="O23" s="343">
        <f>payesh!X16</f>
        <v>0</v>
      </c>
      <c r="P23" s="342">
        <f>payesh!X19</f>
        <v>0</v>
      </c>
      <c r="Q23" s="342">
        <f>payesh!X20</f>
        <v>0</v>
      </c>
      <c r="R23" s="342">
        <f>payesh!X21</f>
        <v>0</v>
      </c>
      <c r="S23" s="342">
        <f>payesh!$X$55</f>
        <v>0</v>
      </c>
      <c r="T23" s="357">
        <f>payesh!X64</f>
        <v>0</v>
      </c>
      <c r="U23" s="342">
        <f>payesh!$X$56</f>
        <v>0</v>
      </c>
      <c r="V23" s="357">
        <f>payesh!X65</f>
        <v>0</v>
      </c>
      <c r="W23" s="342">
        <f>payesh!X78</f>
        <v>0</v>
      </c>
      <c r="X23" s="342">
        <f>payesh!X79</f>
        <v>0</v>
      </c>
      <c r="Y23" s="342">
        <f>payesh!$X$83</f>
        <v>0</v>
      </c>
      <c r="Z23" s="342">
        <f>payesh!$X$84</f>
        <v>0</v>
      </c>
      <c r="AA23" s="342">
        <f>payesh!X86</f>
        <v>0</v>
      </c>
      <c r="AB23" s="342">
        <f>payesh!X153</f>
        <v>0</v>
      </c>
      <c r="AC23" s="342">
        <f>payesh!X155</f>
        <v>0</v>
      </c>
      <c r="AD23" s="342">
        <f>payesh!X157</f>
        <v>0</v>
      </c>
      <c r="AE23" s="342">
        <f>payesh!X159</f>
        <v>0</v>
      </c>
      <c r="AF23" s="342">
        <f>payesh!X161</f>
        <v>0</v>
      </c>
      <c r="AG23" s="342">
        <f>payesh!X163</f>
        <v>0</v>
      </c>
      <c r="AH23" s="342">
        <f>payesh!X165</f>
        <v>0</v>
      </c>
      <c r="AI23" s="342">
        <f>payesh!X167</f>
        <v>0</v>
      </c>
      <c r="AJ23" s="342">
        <f>payesh!X169</f>
        <v>0</v>
      </c>
      <c r="AK23" s="345">
        <f>payesh!X171</f>
        <v>0</v>
      </c>
    </row>
  </sheetData>
  <sheetProtection algorithmName="SHA-512" hashValue="cHrFNabaEXSg3e5/I03oWsJdJ2Des0AxpOKAqaIKSyP+0c2tnGMdCeiJtz3qz/LbKpEYnhhUmWOEWpTFgch5ug==" saltValue="Yjx/xPHCKmshfUTDfbrzC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7" workbookViewId="0">
      <selection activeCell="E25" sqref="E25"/>
    </sheetView>
  </sheetViews>
  <sheetFormatPr defaultColWidth="9.140625" defaultRowHeight="18.75" x14ac:dyDescent="0.25"/>
  <cols>
    <col min="1" max="1" width="1.85546875" style="73" customWidth="1"/>
    <col min="2" max="2" width="16.28515625" style="87" customWidth="1"/>
    <col min="3" max="3" width="8.5703125" style="87" customWidth="1"/>
    <col min="4" max="4" width="44.28515625" style="89" customWidth="1"/>
    <col min="5" max="5" width="14.5703125" style="114" customWidth="1"/>
    <col min="6" max="6" width="10.140625" style="114" customWidth="1"/>
    <col min="7" max="16384" width="9.140625" style="73"/>
  </cols>
  <sheetData>
    <row r="1" spans="2:6" ht="19.5" thickBot="1" x14ac:dyDescent="0.3"/>
    <row r="2" spans="2:6" ht="33.75" customHeight="1" thickBot="1" x14ac:dyDescent="0.3">
      <c r="B2" s="566" t="s">
        <v>89</v>
      </c>
      <c r="C2" s="567"/>
      <c r="D2" s="568"/>
      <c r="E2" s="88" t="s">
        <v>90</v>
      </c>
      <c r="F2" s="115"/>
    </row>
    <row r="3" spans="2:6" ht="15" customHeight="1" x14ac:dyDescent="0.25">
      <c r="B3" s="569" t="s">
        <v>14</v>
      </c>
      <c r="C3" s="570"/>
      <c r="D3" s="90" t="s">
        <v>91</v>
      </c>
      <c r="E3" s="116">
        <f>SUMPRODUCT((payesh!E10:X10&lt;&gt;"")/COUNTIF(payesh!E10:X10,payesh!E10:X10&amp;""))</f>
        <v>0.99999999999999967</v>
      </c>
      <c r="F3" s="72"/>
    </row>
    <row r="4" spans="2:6" ht="15" customHeight="1" x14ac:dyDescent="0.25">
      <c r="B4" s="571"/>
      <c r="C4" s="572"/>
      <c r="D4" s="91" t="s">
        <v>92</v>
      </c>
      <c r="E4" s="117">
        <f>SUMPRODUCT((payesh!E11:X11&lt;&gt;"")/COUNTIF(payesh!E11:X11,payesh!E11:X11&amp;""))</f>
        <v>0.99999999999999967</v>
      </c>
      <c r="F4" s="72"/>
    </row>
    <row r="5" spans="2:6" ht="15" customHeight="1" thickBot="1" x14ac:dyDescent="0.3">
      <c r="B5" s="573"/>
      <c r="C5" s="574"/>
      <c r="D5" s="92" t="s">
        <v>175</v>
      </c>
      <c r="E5" s="118">
        <f>SUMPRODUCT((payesh!E13:X13&lt;&gt;"")/COUNTIF(payesh!E13:X13,payesh!E13:X13&amp;""))</f>
        <v>1.9999999999999991</v>
      </c>
      <c r="F5" s="115"/>
    </row>
    <row r="6" spans="2:6" ht="15" customHeight="1" x14ac:dyDescent="0.25">
      <c r="B6" s="575" t="s">
        <v>11</v>
      </c>
      <c r="C6" s="576"/>
      <c r="D6" s="93" t="s">
        <v>176</v>
      </c>
      <c r="E6" s="119">
        <f>SUMPRODUCT((payesh!E4:X4&lt;&gt;"")/COUNTIF(payesh!E4:X4,payesh!E4:X4&amp;""))</f>
        <v>0.99999999999999967</v>
      </c>
      <c r="F6" s="115"/>
    </row>
    <row r="7" spans="2:6" ht="15" customHeight="1" x14ac:dyDescent="0.25">
      <c r="B7" s="577"/>
      <c r="C7" s="578"/>
      <c r="D7" s="93" t="s">
        <v>93</v>
      </c>
      <c r="E7" s="120">
        <f>SUMPRODUCT((payesh!E5:X5&lt;&gt;"")/COUNTIF(payesh!E5:X5,payesh!E5:X5&amp;""))</f>
        <v>6.0000000000000009</v>
      </c>
      <c r="F7" s="72"/>
    </row>
    <row r="8" spans="2:6" ht="15" customHeight="1" x14ac:dyDescent="0.25">
      <c r="B8" s="577"/>
      <c r="C8" s="578"/>
      <c r="D8" s="94" t="s">
        <v>177</v>
      </c>
      <c r="E8" s="120">
        <v>0</v>
      </c>
      <c r="F8" s="115"/>
    </row>
    <row r="9" spans="2:6" ht="15" customHeight="1" x14ac:dyDescent="0.25">
      <c r="B9" s="577"/>
      <c r="C9" s="578"/>
      <c r="D9" s="94" t="s">
        <v>94</v>
      </c>
      <c r="E9" s="120">
        <f>COUNT(payesh!E22:X22)</f>
        <v>14</v>
      </c>
      <c r="F9" s="72"/>
    </row>
    <row r="10" spans="2:6" ht="15" customHeight="1" x14ac:dyDescent="0.25">
      <c r="B10" s="577"/>
      <c r="C10" s="578"/>
      <c r="D10" s="94" t="s">
        <v>178</v>
      </c>
      <c r="E10" s="120">
        <f>SUM(payesh!E22:X22)</f>
        <v>231</v>
      </c>
      <c r="F10" s="115"/>
    </row>
    <row r="11" spans="2:6" ht="15" customHeight="1" x14ac:dyDescent="0.25">
      <c r="B11" s="577"/>
      <c r="C11" s="578"/>
      <c r="D11" s="94" t="s">
        <v>95</v>
      </c>
      <c r="E11" s="120">
        <f>E10/E9</f>
        <v>16.5</v>
      </c>
      <c r="F11" s="115"/>
    </row>
    <row r="12" spans="2:6" ht="15" customHeight="1" x14ac:dyDescent="0.25">
      <c r="B12" s="577"/>
      <c r="C12" s="578"/>
      <c r="D12" s="94" t="s">
        <v>1</v>
      </c>
      <c r="E12" s="120">
        <f>SUM(payesh!E23:X23)</f>
        <v>231</v>
      </c>
      <c r="F12" s="115"/>
    </row>
    <row r="13" spans="2:6" ht="15" customHeight="1" x14ac:dyDescent="0.25">
      <c r="B13" s="577"/>
      <c r="C13" s="578"/>
      <c r="D13" s="94" t="s">
        <v>3</v>
      </c>
      <c r="E13" s="121">
        <f>(E12*100)/E10</f>
        <v>100</v>
      </c>
      <c r="F13" s="72"/>
    </row>
    <row r="14" spans="2:6" ht="15" customHeight="1" x14ac:dyDescent="0.25">
      <c r="B14" s="577"/>
      <c r="C14" s="578"/>
      <c r="D14" s="94" t="s">
        <v>96</v>
      </c>
      <c r="E14" s="120">
        <f>SUM(payesh!E26:X26)</f>
        <v>1</v>
      </c>
      <c r="F14" s="115"/>
    </row>
    <row r="15" spans="2:6" ht="16.5" customHeight="1" x14ac:dyDescent="0.25">
      <c r="B15" s="577"/>
      <c r="C15" s="578"/>
      <c r="D15" s="94" t="s">
        <v>179</v>
      </c>
      <c r="E15" s="121">
        <f>(E14*100)/E12</f>
        <v>0.4329004329004329</v>
      </c>
      <c r="F15" s="72"/>
    </row>
    <row r="16" spans="2:6" ht="15" customHeight="1" thickBot="1" x14ac:dyDescent="0.3">
      <c r="B16" s="579"/>
      <c r="C16" s="580"/>
      <c r="D16" s="94" t="s">
        <v>180</v>
      </c>
      <c r="E16" s="122">
        <f>AVERAGE(payesh!E29:X29)</f>
        <v>37</v>
      </c>
      <c r="F16" s="115"/>
    </row>
    <row r="17" spans="2:6" ht="15.75" customHeight="1" x14ac:dyDescent="0.25">
      <c r="B17" s="581" t="s">
        <v>181</v>
      </c>
      <c r="C17" s="582"/>
      <c r="D17" s="95" t="s">
        <v>182</v>
      </c>
      <c r="E17" s="123">
        <f>SUM(payesh!E62:X62)/1000</f>
        <v>39250</v>
      </c>
      <c r="F17" s="72"/>
    </row>
    <row r="18" spans="2:6" ht="14.25" customHeight="1" x14ac:dyDescent="0.25">
      <c r="B18" s="583"/>
      <c r="C18" s="584"/>
      <c r="D18" s="96" t="s">
        <v>183</v>
      </c>
      <c r="E18" s="124">
        <f>SUM(payesh!E68:X68)</f>
        <v>11</v>
      </c>
      <c r="F18" s="115"/>
    </row>
    <row r="19" spans="2:6" ht="14.25" customHeight="1" x14ac:dyDescent="0.25">
      <c r="B19" s="583"/>
      <c r="C19" s="584"/>
      <c r="D19" s="96" t="s">
        <v>184</v>
      </c>
      <c r="E19" s="124">
        <f>SUM(payesh!E67:X67)/1000</f>
        <v>64000</v>
      </c>
      <c r="F19" s="72"/>
    </row>
    <row r="20" spans="2:6" ht="14.25" customHeight="1" x14ac:dyDescent="0.25">
      <c r="B20" s="583"/>
      <c r="C20" s="584"/>
      <c r="D20" s="96" t="s">
        <v>97</v>
      </c>
      <c r="E20" s="124">
        <f>E19/E18</f>
        <v>5818.181818181818</v>
      </c>
      <c r="F20" s="72"/>
    </row>
    <row r="21" spans="2:6" ht="14.25" customHeight="1" thickBot="1" x14ac:dyDescent="0.3">
      <c r="B21" s="585"/>
      <c r="C21" s="584"/>
      <c r="D21" s="97" t="s">
        <v>185</v>
      </c>
      <c r="E21" s="328">
        <f>AVERAGE(payesh!E74:X74)</f>
        <v>100</v>
      </c>
      <c r="F21" s="72"/>
    </row>
    <row r="22" spans="2:6" ht="14.25" customHeight="1" x14ac:dyDescent="0.25">
      <c r="B22" s="586" t="s">
        <v>98</v>
      </c>
      <c r="C22" s="590"/>
      <c r="D22" s="98" t="s">
        <v>99</v>
      </c>
      <c r="E22" s="125">
        <f>SUMPRODUCT((payesh!E80:X80&lt;&gt;"")/COUNTIF(payesh!E80:X80,payesh!E80:X80&amp;""))</f>
        <v>4</v>
      </c>
      <c r="F22" s="115"/>
    </row>
    <row r="23" spans="2:6" ht="14.25" customHeight="1" thickBot="1" x14ac:dyDescent="0.3">
      <c r="B23" s="587"/>
      <c r="C23" s="591"/>
      <c r="D23" s="99" t="s">
        <v>100</v>
      </c>
      <c r="E23" s="329">
        <f>COUNT(payesh!E84:X84)</f>
        <v>8</v>
      </c>
      <c r="F23" s="72"/>
    </row>
    <row r="24" spans="2:6" ht="14.25" customHeight="1" x14ac:dyDescent="0.25">
      <c r="B24" s="588"/>
      <c r="C24" s="592" t="s">
        <v>186</v>
      </c>
      <c r="D24" s="100" t="s">
        <v>187</v>
      </c>
      <c r="E24" s="327">
        <f>COUNT(payesh!E86:X86)</f>
        <v>8</v>
      </c>
      <c r="F24" s="115"/>
    </row>
    <row r="25" spans="2:6" ht="14.25" customHeight="1" x14ac:dyDescent="0.25">
      <c r="B25" s="588"/>
      <c r="C25" s="592"/>
      <c r="D25" s="101" t="s">
        <v>188</v>
      </c>
      <c r="E25" s="126">
        <f>SUM(payesh!E86:X86)/1000</f>
        <v>1745000</v>
      </c>
      <c r="F25" s="72"/>
    </row>
    <row r="26" spans="2:6" ht="14.25" customHeight="1" x14ac:dyDescent="0.25">
      <c r="B26" s="588"/>
      <c r="C26" s="592"/>
      <c r="D26" s="101" t="s">
        <v>101</v>
      </c>
      <c r="E26" s="126">
        <f>AVERAGE(payesh!E89:X89)</f>
        <v>20</v>
      </c>
      <c r="F26" s="115"/>
    </row>
    <row r="27" spans="2:6" ht="28.5" x14ac:dyDescent="0.25">
      <c r="B27" s="588"/>
      <c r="C27" s="592" t="s">
        <v>186</v>
      </c>
      <c r="D27" s="101" t="s">
        <v>102</v>
      </c>
      <c r="E27" s="126" t="e">
        <f>AVERAGE(payesh!E90:X90)</f>
        <v>#DIV/0!</v>
      </c>
    </row>
    <row r="28" spans="2:6" x14ac:dyDescent="0.25">
      <c r="B28" s="588"/>
      <c r="C28" s="592"/>
      <c r="D28" s="101" t="s">
        <v>103</v>
      </c>
      <c r="E28" s="126">
        <f>SUM(payesh!E91:X91)</f>
        <v>127</v>
      </c>
    </row>
    <row r="29" spans="2:6" x14ac:dyDescent="0.25">
      <c r="B29" s="588"/>
      <c r="C29" s="592"/>
      <c r="D29" s="101" t="s">
        <v>104</v>
      </c>
      <c r="E29" s="127">
        <f>E25/E28</f>
        <v>13740.157480314962</v>
      </c>
    </row>
    <row r="30" spans="2:6" ht="19.5" thickBot="1" x14ac:dyDescent="0.3">
      <c r="B30" s="588"/>
      <c r="C30" s="593"/>
      <c r="D30" s="102" t="s">
        <v>105</v>
      </c>
      <c r="E30" s="128" t="e">
        <f>AVERAGE(payesh!E136:X136)</f>
        <v>#DIV/0!</v>
      </c>
    </row>
    <row r="31" spans="2:6" ht="18" customHeight="1" x14ac:dyDescent="0.25">
      <c r="B31" s="588"/>
      <c r="C31" s="594" t="s">
        <v>189</v>
      </c>
      <c r="D31" s="100" t="s">
        <v>190</v>
      </c>
      <c r="E31" s="125">
        <f>COUNT(payesh!E99:X99)</f>
        <v>0</v>
      </c>
    </row>
    <row r="32" spans="2:6" x14ac:dyDescent="0.25">
      <c r="B32" s="588"/>
      <c r="C32" s="592"/>
      <c r="D32" s="101" t="s">
        <v>188</v>
      </c>
      <c r="E32" s="126">
        <f>SUM(payesh!E99:X99)/1000</f>
        <v>0</v>
      </c>
    </row>
    <row r="33" spans="2:14" x14ac:dyDescent="0.25">
      <c r="B33" s="588"/>
      <c r="C33" s="592"/>
      <c r="D33" s="101" t="s">
        <v>191</v>
      </c>
      <c r="E33" s="126" t="e">
        <f>AVERAGE(payesh!E102:X102)</f>
        <v>#DIV/0!</v>
      </c>
    </row>
    <row r="34" spans="2:14" ht="28.5" x14ac:dyDescent="0.25">
      <c r="B34" s="588"/>
      <c r="C34" s="592" t="s">
        <v>189</v>
      </c>
      <c r="D34" s="101" t="s">
        <v>102</v>
      </c>
      <c r="E34" s="126" t="e">
        <f>AVERAGE(payesh!E103:X103)</f>
        <v>#DIV/0!</v>
      </c>
    </row>
    <row r="35" spans="2:14" x14ac:dyDescent="0.25">
      <c r="B35" s="588"/>
      <c r="C35" s="592"/>
      <c r="D35" s="101" t="s">
        <v>192</v>
      </c>
      <c r="E35" s="126">
        <f>SUM(payesh!E104:X104)</f>
        <v>0</v>
      </c>
      <c r="N35" s="129"/>
    </row>
    <row r="36" spans="2:14" x14ac:dyDescent="0.25">
      <c r="B36" s="588"/>
      <c r="C36" s="592"/>
      <c r="D36" s="101" t="s">
        <v>193</v>
      </c>
      <c r="E36" s="127" t="e">
        <f>E32/E35</f>
        <v>#DIV/0!</v>
      </c>
    </row>
    <row r="37" spans="2:14" ht="19.5" thickBot="1" x14ac:dyDescent="0.3">
      <c r="B37" s="588"/>
      <c r="C37" s="593"/>
      <c r="D37" s="103" t="s">
        <v>105</v>
      </c>
      <c r="E37" s="128" t="e">
        <f>AVERAGE(payesh!E140:X140)</f>
        <v>#DIV/0!</v>
      </c>
    </row>
    <row r="38" spans="2:14" ht="28.5" x14ac:dyDescent="0.25">
      <c r="B38" s="588"/>
      <c r="C38" s="594" t="s">
        <v>194</v>
      </c>
      <c r="D38" s="104" t="s">
        <v>195</v>
      </c>
      <c r="E38" s="130">
        <f>COUNT(payesh!E112:X112,payesh!E126:X126)</f>
        <v>0</v>
      </c>
    </row>
    <row r="39" spans="2:14" x14ac:dyDescent="0.25">
      <c r="B39" s="588"/>
      <c r="C39" s="592"/>
      <c r="D39" s="101" t="s">
        <v>188</v>
      </c>
      <c r="E39" s="126">
        <f>SUM(payesh!E112:X112,payesh!E126:X126)/1000</f>
        <v>0</v>
      </c>
    </row>
    <row r="40" spans="2:14" ht="28.5" x14ac:dyDescent="0.25">
      <c r="B40" s="588"/>
      <c r="C40" s="592"/>
      <c r="D40" s="101" t="s">
        <v>196</v>
      </c>
      <c r="E40" s="126" t="e">
        <f>AVERAGE(payesh!E115:X115,payesh!E129:X129)</f>
        <v>#DIV/0!</v>
      </c>
    </row>
    <row r="41" spans="2:14" ht="28.5" x14ac:dyDescent="0.25">
      <c r="B41" s="588"/>
      <c r="C41" s="592" t="s">
        <v>194</v>
      </c>
      <c r="D41" s="101" t="s">
        <v>102</v>
      </c>
      <c r="E41" s="126" t="e">
        <f>AVERAGE(payesh!E116:X116,payesh!E129:X129)</f>
        <v>#DIV/0!</v>
      </c>
    </row>
    <row r="42" spans="2:14" x14ac:dyDescent="0.25">
      <c r="B42" s="588"/>
      <c r="C42" s="592"/>
      <c r="D42" s="101" t="s">
        <v>197</v>
      </c>
      <c r="E42" s="126">
        <f>SUM(payesh!E117:X117,payesh!E130:X130)</f>
        <v>0</v>
      </c>
    </row>
    <row r="43" spans="2:14" x14ac:dyDescent="0.25">
      <c r="B43" s="588"/>
      <c r="C43" s="592"/>
      <c r="D43" s="101" t="s">
        <v>198</v>
      </c>
      <c r="E43" s="126" t="e">
        <f>E39/E42</f>
        <v>#DIV/0!</v>
      </c>
    </row>
    <row r="44" spans="2:14" ht="19.5" thickBot="1" x14ac:dyDescent="0.3">
      <c r="B44" s="588"/>
      <c r="C44" s="593"/>
      <c r="D44" s="103" t="s">
        <v>105</v>
      </c>
      <c r="E44" s="128" t="e">
        <f>AVERAGE(payesh!E144:X144)</f>
        <v>#DIV/0!</v>
      </c>
    </row>
    <row r="45" spans="2:14" x14ac:dyDescent="0.25">
      <c r="B45" s="588"/>
      <c r="C45" s="595" t="s">
        <v>199</v>
      </c>
      <c r="D45" s="105" t="s">
        <v>200</v>
      </c>
      <c r="E45" s="130">
        <f>E39+E32+E25</f>
        <v>1745000</v>
      </c>
    </row>
    <row r="46" spans="2:14" ht="19.5" thickBot="1" x14ac:dyDescent="0.3">
      <c r="B46" s="589"/>
      <c r="C46" s="596"/>
      <c r="D46" s="106" t="s">
        <v>105</v>
      </c>
      <c r="E46" s="128" t="e">
        <f>AVERAGE(E44:E44,E37,E30)</f>
        <v>#DIV/0!</v>
      </c>
    </row>
    <row r="47" spans="2:14" ht="18.75" customHeight="1" x14ac:dyDescent="0.25">
      <c r="B47" s="554" t="s">
        <v>201</v>
      </c>
      <c r="C47" s="555"/>
      <c r="D47" s="107" t="s">
        <v>202</v>
      </c>
      <c r="E47" s="131">
        <f>COUNTIF(payesh!E8:X8,"غیرفعال")</f>
        <v>0</v>
      </c>
    </row>
    <row r="48" spans="2:14" x14ac:dyDescent="0.25">
      <c r="B48" s="556"/>
      <c r="C48" s="557"/>
      <c r="D48" s="108" t="s">
        <v>203</v>
      </c>
      <c r="E48" s="132">
        <f>SUMIF(payesh!E8:X8,"غیرفعال",payesh!E22:X22)</f>
        <v>0</v>
      </c>
    </row>
    <row r="49" spans="2:5" x14ac:dyDescent="0.25">
      <c r="B49" s="556"/>
      <c r="C49" s="557"/>
      <c r="D49" s="108" t="s">
        <v>204</v>
      </c>
      <c r="E49" s="132">
        <f>SUMIF(payesh!E8:X8,"غیرفعال",payesh!E62:X62)/1000</f>
        <v>0</v>
      </c>
    </row>
    <row r="50" spans="2:5" x14ac:dyDescent="0.25">
      <c r="B50" s="556"/>
      <c r="C50" s="557"/>
      <c r="D50" s="108" t="s">
        <v>205</v>
      </c>
      <c r="E50" s="132">
        <f>SUMIF(payesh!E8:X8,"غیرفعال",payesh!E68:X68)</f>
        <v>0</v>
      </c>
    </row>
    <row r="51" spans="2:5" x14ac:dyDescent="0.25">
      <c r="B51" s="556"/>
      <c r="C51" s="557"/>
      <c r="D51" s="108" t="s">
        <v>206</v>
      </c>
      <c r="E51" s="132">
        <f>SUMIF(payesh!E8:X8,"غیرفعال",payesh!E67:X67)/1000</f>
        <v>0</v>
      </c>
    </row>
    <row r="52" spans="2:5" x14ac:dyDescent="0.25">
      <c r="B52" s="556"/>
      <c r="C52" s="557"/>
      <c r="D52" s="108" t="s">
        <v>207</v>
      </c>
      <c r="E52" s="132">
        <f>SUMIF(payesh!E8:X8,"غیرفعال",payesh!E82:X82)/1000</f>
        <v>0</v>
      </c>
    </row>
    <row r="53" spans="2:5" ht="19.5" thickBot="1" x14ac:dyDescent="0.3">
      <c r="B53" s="558"/>
      <c r="C53" s="559"/>
      <c r="D53" s="109" t="s">
        <v>105</v>
      </c>
      <c r="E53" s="133" t="e">
        <f>AVERAGEIF(payesh!E8:X8,"غیرفعال",payesh!E136:X136)</f>
        <v>#DIV/0!</v>
      </c>
    </row>
    <row r="54" spans="2:5" x14ac:dyDescent="0.25">
      <c r="B54" s="560" t="s">
        <v>208</v>
      </c>
      <c r="C54" s="561"/>
      <c r="D54" s="110" t="s">
        <v>209</v>
      </c>
      <c r="E54" s="134"/>
    </row>
    <row r="55" spans="2:5" x14ac:dyDescent="0.25">
      <c r="B55" s="562"/>
      <c r="C55" s="563"/>
      <c r="D55" s="111" t="s">
        <v>210</v>
      </c>
      <c r="E55" s="135"/>
    </row>
    <row r="56" spans="2:5" x14ac:dyDescent="0.25">
      <c r="B56" s="562"/>
      <c r="C56" s="563"/>
      <c r="D56" s="111" t="s">
        <v>211</v>
      </c>
      <c r="E56" s="135"/>
    </row>
    <row r="57" spans="2:5" x14ac:dyDescent="0.25">
      <c r="B57" s="562"/>
      <c r="C57" s="563"/>
      <c r="D57" s="112" t="s">
        <v>212</v>
      </c>
      <c r="E57" s="135"/>
    </row>
    <row r="58" spans="2:5" x14ac:dyDescent="0.25">
      <c r="B58" s="562"/>
      <c r="C58" s="563"/>
      <c r="D58" s="112" t="s">
        <v>213</v>
      </c>
      <c r="E58" s="135"/>
    </row>
    <row r="59" spans="2:5" x14ac:dyDescent="0.25">
      <c r="B59" s="562"/>
      <c r="C59" s="563"/>
      <c r="D59" s="112" t="s">
        <v>214</v>
      </c>
      <c r="E59" s="135"/>
    </row>
    <row r="60" spans="2:5" x14ac:dyDescent="0.25">
      <c r="B60" s="562"/>
      <c r="C60" s="563"/>
      <c r="D60" s="111" t="s">
        <v>215</v>
      </c>
      <c r="E60" s="135"/>
    </row>
    <row r="61" spans="2:5" x14ac:dyDescent="0.25">
      <c r="B61" s="562"/>
      <c r="C61" s="563"/>
      <c r="D61" s="111" t="s">
        <v>216</v>
      </c>
      <c r="E61" s="135"/>
    </row>
    <row r="62" spans="2:5" x14ac:dyDescent="0.25">
      <c r="B62" s="562"/>
      <c r="C62" s="563"/>
      <c r="D62" s="111" t="s">
        <v>217</v>
      </c>
      <c r="E62" s="135"/>
    </row>
    <row r="63" spans="2:5" ht="19.5" thickBot="1" x14ac:dyDescent="0.3">
      <c r="B63" s="564"/>
      <c r="C63" s="565"/>
      <c r="D63" s="113" t="s">
        <v>218</v>
      </c>
      <c r="E63" s="136"/>
    </row>
  </sheetData>
  <sheetProtection algorithmName="SHA-512" hashValue="sGsUvLnvN4blkRvLjpXhzwRVNwfOmeWz7vU7RQYiMAp8aRSdsrp8UBTRUHdFAcL5cGPledRzmLGBqKBCI20XeQ==" saltValue="TPiimJRQI7bzro6ckJ+ZUA=="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0"/>
  <sheetViews>
    <sheetView rightToLeft="1" tabSelected="1" topLeftCell="G1" workbookViewId="0">
      <selection activeCell="P14" sqref="P14"/>
    </sheetView>
  </sheetViews>
  <sheetFormatPr defaultRowHeight="17.25" x14ac:dyDescent="0.25"/>
  <cols>
    <col min="1" max="1" width="2.42578125" style="73" customWidth="1"/>
    <col min="2" max="2" width="11.85546875" style="73" customWidth="1"/>
    <col min="3" max="3" width="13" style="73" customWidth="1"/>
    <col min="4" max="5" width="9.140625" style="73"/>
    <col min="6" max="6" width="18.7109375" style="73" customWidth="1"/>
    <col min="7" max="9" width="9.140625" style="73"/>
    <col min="10" max="10" width="17.85546875" style="73" customWidth="1"/>
    <col min="11" max="11" width="13.85546875" style="73" customWidth="1"/>
    <col min="12" max="14" width="9.140625" style="73"/>
    <col min="15" max="15" width="15.140625" style="73" customWidth="1"/>
    <col min="16" max="16" width="14" style="73" customWidth="1"/>
    <col min="17" max="17" width="19.140625" style="73" customWidth="1"/>
    <col min="18" max="18" width="17" style="73" customWidth="1"/>
    <col min="19" max="19" width="13.5703125" style="73" customWidth="1"/>
    <col min="20" max="20" width="12.28515625" style="73" customWidth="1"/>
    <col min="21" max="16384" width="9.140625" style="73"/>
  </cols>
  <sheetData>
    <row r="2" spans="2:20" ht="18" thickBot="1" x14ac:dyDescent="0.3"/>
    <row r="3" spans="2:20" ht="19.5" thickBot="1" x14ac:dyDescent="0.3">
      <c r="B3" s="394" t="s">
        <v>71</v>
      </c>
      <c r="C3" s="395" t="s">
        <v>33</v>
      </c>
      <c r="D3" s="396" t="s">
        <v>202</v>
      </c>
      <c r="F3" s="150" t="s">
        <v>89</v>
      </c>
      <c r="G3" s="151" t="s">
        <v>202</v>
      </c>
    </row>
    <row r="4" spans="2:20" ht="18.75" thickBot="1" x14ac:dyDescent="0.3">
      <c r="B4" s="157">
        <v>1</v>
      </c>
      <c r="C4" s="158" t="s">
        <v>439</v>
      </c>
      <c r="D4" s="148">
        <f>COUNTIF(payesh!$E$5:$X$5,"دادانه")</f>
        <v>6</v>
      </c>
      <c r="F4" s="152" t="s">
        <v>236</v>
      </c>
      <c r="G4" s="153">
        <f>COUNTIF($D$4:$D$23,"1")</f>
        <v>3</v>
      </c>
      <c r="I4" s="405" t="s">
        <v>71</v>
      </c>
      <c r="J4" s="406" t="s">
        <v>10</v>
      </c>
      <c r="K4" s="407" t="s">
        <v>425</v>
      </c>
      <c r="L4" s="408" t="s">
        <v>426</v>
      </c>
      <c r="N4" s="405" t="s">
        <v>71</v>
      </c>
      <c r="O4" s="406" t="s">
        <v>219</v>
      </c>
      <c r="P4" s="406" t="s">
        <v>425</v>
      </c>
      <c r="Q4" s="408" t="s">
        <v>202</v>
      </c>
    </row>
    <row r="5" spans="2:20" ht="18" x14ac:dyDescent="0.25">
      <c r="B5" s="149">
        <v>2</v>
      </c>
      <c r="C5" s="156" t="s">
        <v>440</v>
      </c>
      <c r="D5" s="147">
        <f>COUNTIF(payesh!$E$5:$X$5,"زندان")</f>
        <v>1</v>
      </c>
      <c r="F5" s="139" t="s">
        <v>237</v>
      </c>
      <c r="G5" s="154">
        <f>COUNTIF($D$4:$D$23,"2")</f>
        <v>1</v>
      </c>
      <c r="I5" s="409">
        <v>1</v>
      </c>
      <c r="J5" s="410" t="s">
        <v>543</v>
      </c>
      <c r="K5" s="478">
        <v>9395199953</v>
      </c>
      <c r="L5" s="153">
        <f>COUNTIF(payesh!$E$13:$X$13,"رزا بیگلری")</f>
        <v>12</v>
      </c>
      <c r="N5" s="409">
        <v>1</v>
      </c>
      <c r="O5" s="410" t="s">
        <v>458</v>
      </c>
      <c r="P5" s="478">
        <v>9188732609</v>
      </c>
      <c r="Q5" s="153">
        <f>COUNTIF(payesh!$E$11:$X$11,"فلوریا محمدپور")</f>
        <v>14</v>
      </c>
    </row>
    <row r="6" spans="2:20" ht="18" x14ac:dyDescent="0.25">
      <c r="B6" s="149">
        <v>3</v>
      </c>
      <c r="C6" s="156" t="s">
        <v>441</v>
      </c>
      <c r="D6" s="147">
        <f>COUNTIF(payesh!$E$5:$X$5,"گندمان")</f>
        <v>2</v>
      </c>
      <c r="F6" s="139" t="s">
        <v>238</v>
      </c>
      <c r="G6" s="154">
        <f>COUNTIF($D$4:$D$23,"3")</f>
        <v>1</v>
      </c>
      <c r="I6" s="411">
        <v>2</v>
      </c>
      <c r="J6" s="412" t="s">
        <v>459</v>
      </c>
      <c r="K6" s="479">
        <v>9185210345</v>
      </c>
      <c r="L6" s="154">
        <f>COUNTIF(payesh!$E$13:$X$13,"مهتاب جامه ساز")</f>
        <v>2</v>
      </c>
      <c r="N6" s="411">
        <v>2</v>
      </c>
      <c r="O6" s="412"/>
      <c r="P6" s="479"/>
      <c r="Q6" s="154">
        <f>COUNTIF(payesh!$E$11:$X$11,"نام")</f>
        <v>0</v>
      </c>
    </row>
    <row r="7" spans="2:20" ht="18" x14ac:dyDescent="0.25">
      <c r="B7" s="149">
        <v>4</v>
      </c>
      <c r="C7" s="156" t="s">
        <v>442</v>
      </c>
      <c r="D7" s="147">
        <f>COUNTIF(payesh!$E$5:$X$5,"نوره")</f>
        <v>3</v>
      </c>
      <c r="F7" s="139" t="s">
        <v>239</v>
      </c>
      <c r="G7" s="154">
        <f>COUNTIF($D$4:$D$23,"4")</f>
        <v>0</v>
      </c>
      <c r="I7" s="411">
        <v>3</v>
      </c>
      <c r="J7" s="412"/>
      <c r="K7" s="479"/>
      <c r="L7" s="154">
        <f>COUNTIF(payesh!$E$13:$X$13,"نام")</f>
        <v>0</v>
      </c>
      <c r="N7" s="411">
        <v>3</v>
      </c>
      <c r="O7" s="412"/>
      <c r="P7" s="479"/>
      <c r="Q7" s="154">
        <f>COUNTIF(payesh!$E$11:$X$11,"نام")</f>
        <v>0</v>
      </c>
    </row>
    <row r="8" spans="2:20" ht="18" x14ac:dyDescent="0.25">
      <c r="B8" s="149">
        <v>5</v>
      </c>
      <c r="C8" s="156" t="s">
        <v>544</v>
      </c>
      <c r="D8" s="147">
        <f>COUNTIF(payesh!$E$5:$X$5,"آویهنگ")</f>
        <v>1</v>
      </c>
      <c r="F8" s="139" t="s">
        <v>240</v>
      </c>
      <c r="G8" s="154">
        <f>COUNTIF($D$4:$D$23,"5")</f>
        <v>0</v>
      </c>
      <c r="I8" s="411">
        <v>4</v>
      </c>
      <c r="J8" s="412"/>
      <c r="K8" s="479"/>
      <c r="L8" s="154">
        <f>COUNTIF(payesh!$E$13:$X$13,"نام")</f>
        <v>0</v>
      </c>
      <c r="N8" s="411">
        <v>4</v>
      </c>
      <c r="O8" s="412"/>
      <c r="P8" s="479"/>
      <c r="Q8" s="154">
        <f>COUNTIF(payesh!$E$11:$X$11,"نام")</f>
        <v>0</v>
      </c>
    </row>
    <row r="9" spans="2:20" ht="18.75" thickBot="1" x14ac:dyDescent="0.3">
      <c r="B9" s="149">
        <v>6</v>
      </c>
      <c r="C9" s="156" t="s">
        <v>538</v>
      </c>
      <c r="D9" s="147">
        <f>COUNTIF(payesh!$E$5:$X$5,"چنو")</f>
        <v>1</v>
      </c>
      <c r="F9" s="139" t="s">
        <v>241</v>
      </c>
      <c r="G9" s="154">
        <f>COUNTIF($D$4:$D$23,"6")</f>
        <v>1</v>
      </c>
      <c r="I9" s="411">
        <v>5</v>
      </c>
      <c r="J9" s="412"/>
      <c r="K9" s="479"/>
      <c r="L9" s="154">
        <f>COUNTIF(payesh!$E$13:$X$13,"نام")</f>
        <v>0</v>
      </c>
      <c r="N9" s="413">
        <v>5</v>
      </c>
      <c r="O9" s="414"/>
      <c r="P9" s="480"/>
      <c r="Q9" s="155">
        <f>COUNTIF(payesh!$E$11:$X$11,"نام")</f>
        <v>0</v>
      </c>
    </row>
    <row r="10" spans="2:20" ht="18.75" thickBot="1" x14ac:dyDescent="0.3">
      <c r="B10" s="149">
        <v>7</v>
      </c>
      <c r="C10" s="156"/>
      <c r="D10" s="147">
        <f>COUNTIF(payesh!$E$5:$X$5,"نام روستا")</f>
        <v>0</v>
      </c>
      <c r="F10" s="139" t="s">
        <v>242</v>
      </c>
      <c r="G10" s="154">
        <f>COUNTIF($D$4:$D$23,"7")</f>
        <v>0</v>
      </c>
      <c r="I10" s="411">
        <v>6</v>
      </c>
      <c r="J10" s="412"/>
      <c r="K10" s="479"/>
      <c r="L10" s="154">
        <f>COUNTIF(payesh!$E$13:$X$13,"نام")</f>
        <v>0</v>
      </c>
      <c r="N10" s="599" t="s">
        <v>106</v>
      </c>
      <c r="O10" s="600"/>
      <c r="P10" s="600"/>
      <c r="Q10" s="416">
        <f>SUM(Q5:Q9)</f>
        <v>14</v>
      </c>
    </row>
    <row r="11" spans="2:20" ht="18" x14ac:dyDescent="0.25">
      <c r="B11" s="149">
        <v>8</v>
      </c>
      <c r="C11" s="156"/>
      <c r="D11" s="147">
        <f>COUNTIF(payesh!$E$5:$X$5,"نام روستا")</f>
        <v>0</v>
      </c>
      <c r="F11" s="139" t="s">
        <v>243</v>
      </c>
      <c r="G11" s="154">
        <f>COUNTIF($D$4:$D$23,"8")</f>
        <v>0</v>
      </c>
      <c r="I11" s="411">
        <v>7</v>
      </c>
      <c r="J11" s="412"/>
      <c r="K11" s="479"/>
      <c r="L11" s="154">
        <f>COUNTIF(payesh!$E$13:$X$13,"نام")</f>
        <v>0</v>
      </c>
      <c r="T11" s="159"/>
    </row>
    <row r="12" spans="2:20" ht="18.75" thickBot="1" x14ac:dyDescent="0.3">
      <c r="B12" s="149">
        <v>9</v>
      </c>
      <c r="C12" s="156"/>
      <c r="D12" s="147">
        <f>COUNTIF(payesh!$E$5:$X$5,"نام روستا")</f>
        <v>0</v>
      </c>
      <c r="F12" s="139" t="s">
        <v>244</v>
      </c>
      <c r="G12" s="154">
        <f>COUNTIF($D$4:$D$23,"9")</f>
        <v>0</v>
      </c>
      <c r="I12" s="411">
        <v>8</v>
      </c>
      <c r="J12" s="412"/>
      <c r="K12" s="479"/>
      <c r="L12" s="154">
        <f>COUNTIF(payesh!$E$13:$X$13,"نام")</f>
        <v>0</v>
      </c>
    </row>
    <row r="13" spans="2:20" ht="18" x14ac:dyDescent="0.25">
      <c r="B13" s="149">
        <v>10</v>
      </c>
      <c r="C13" s="156"/>
      <c r="D13" s="147">
        <f>COUNTIF(payesh!$E$5:$X$5,"نام روستا")</f>
        <v>0</v>
      </c>
      <c r="F13" s="139" t="s">
        <v>245</v>
      </c>
      <c r="G13" s="154">
        <f>COUNTIF($D$4:$D$23,"10")</f>
        <v>0</v>
      </c>
      <c r="I13" s="411">
        <v>9</v>
      </c>
      <c r="J13" s="412"/>
      <c r="K13" s="479"/>
      <c r="L13" s="154">
        <f>COUNTIF(payesh!$E$13:$X$13,"نام")</f>
        <v>0</v>
      </c>
      <c r="N13" s="484" t="s">
        <v>71</v>
      </c>
      <c r="O13" s="485" t="s">
        <v>547</v>
      </c>
      <c r="P13" s="486" t="s">
        <v>202</v>
      </c>
      <c r="Q13" s="410" t="s">
        <v>554</v>
      </c>
      <c r="R13" s="487" t="s">
        <v>557</v>
      </c>
      <c r="S13" s="410" t="s">
        <v>555</v>
      </c>
      <c r="T13" s="488" t="s">
        <v>556</v>
      </c>
    </row>
    <row r="14" spans="2:20" ht="18" x14ac:dyDescent="0.25">
      <c r="B14" s="149">
        <v>11</v>
      </c>
      <c r="C14" s="156"/>
      <c r="D14" s="147">
        <f>COUNTIF(payesh!$E$5:$X$5,"نام روستا")</f>
        <v>0</v>
      </c>
      <c r="F14" s="139" t="s">
        <v>246</v>
      </c>
      <c r="G14" s="154">
        <f>COUNTIF($D$4:$D$23,"11")</f>
        <v>0</v>
      </c>
      <c r="I14" s="411">
        <v>10</v>
      </c>
      <c r="J14" s="412"/>
      <c r="K14" s="479"/>
      <c r="L14" s="154">
        <f>COUNTIF(payesh!$E$13:$X$13,"نام")</f>
        <v>0</v>
      </c>
      <c r="N14" s="411">
        <v>1</v>
      </c>
      <c r="O14" s="412" t="s">
        <v>562</v>
      </c>
      <c r="P14" s="483">
        <f>COUNTIF(payesh!$E$80:$X$80,"روستا حسن اباد")</f>
        <v>9</v>
      </c>
      <c r="Q14" s="187">
        <f>COUNTIFS(payesh!$E$80:$X$80,"*روستا حسن اباد*",payesh!$E$84:$X$84,"&lt;100")</f>
        <v>5</v>
      </c>
      <c r="R14" s="481">
        <f>COUNTIFS(payesh!$E$80:$X$80,"*روستا حسن اباد*",payesh!$E$86:$X$86,"&gt;100")</f>
        <v>5</v>
      </c>
      <c r="S14" s="412">
        <f>P14-R14</f>
        <v>4</v>
      </c>
      <c r="T14" s="482">
        <f>SUMIF(payesh!$E$80:$X$80,"*روستا حسن اباد*",payesh!$E$86:$X$86)</f>
        <v>1055000000</v>
      </c>
    </row>
    <row r="15" spans="2:20" ht="19.5" thickBot="1" x14ac:dyDescent="0.3">
      <c r="B15" s="149">
        <v>12</v>
      </c>
      <c r="C15" s="156"/>
      <c r="D15" s="147">
        <f>COUNTIF(payesh!$E$5:$X$5,"نام روستا")</f>
        <v>0</v>
      </c>
      <c r="F15" s="139" t="s">
        <v>247</v>
      </c>
      <c r="G15" s="154">
        <f>COUNTIF($D$4:$D$23,"12")</f>
        <v>0</v>
      </c>
      <c r="I15" s="601" t="s">
        <v>106</v>
      </c>
      <c r="J15" s="602"/>
      <c r="K15" s="603"/>
      <c r="L15" s="415">
        <f>SUM(L5:L14)</f>
        <v>14</v>
      </c>
      <c r="N15" s="411">
        <v>2</v>
      </c>
      <c r="O15" s="412" t="s">
        <v>548</v>
      </c>
      <c r="P15" s="483">
        <f>COUNTIF(payesh!$E$80:$X$80,"شویشه")</f>
        <v>1</v>
      </c>
      <c r="Q15" s="187">
        <f>COUNTIFS(payesh!$E$80:$X$80,"*شویشه*",payesh!$E$84:$X$84,"&lt;100")</f>
        <v>0</v>
      </c>
      <c r="R15" s="481">
        <f>COUNTIFS(payesh!$E$80:$X$80,"*شویشه*",payesh!$E$86:$X$86,"&gt;100")</f>
        <v>0</v>
      </c>
      <c r="S15" s="412">
        <f t="shared" ref="S15:S18" si="0">P15-R15</f>
        <v>1</v>
      </c>
      <c r="T15" s="482">
        <f>SUMIF(payesh!$E$80:$X$80,"*شویشه*",payesh!$E$86:$X$86)</f>
        <v>0</v>
      </c>
    </row>
    <row r="16" spans="2:20" ht="18" x14ac:dyDescent="0.25">
      <c r="B16" s="149">
        <v>13</v>
      </c>
      <c r="C16" s="156"/>
      <c r="D16" s="147">
        <f>COUNTIF(payesh!$E$5:$X$5,"نام روستا")</f>
        <v>0</v>
      </c>
      <c r="F16" s="139" t="s">
        <v>248</v>
      </c>
      <c r="G16" s="154">
        <f>COUNTIF($D$4:$D$23,"13")</f>
        <v>0</v>
      </c>
      <c r="N16" s="411">
        <v>3</v>
      </c>
      <c r="O16" s="412" t="s">
        <v>546</v>
      </c>
      <c r="P16" s="483">
        <f>COUNTIF(payesh!$E$80:$X$80,"انقلاب")</f>
        <v>1</v>
      </c>
      <c r="Q16" s="187">
        <f>COUNTIFS(payesh!$E$80:$X$80,"*انقلاب*",payesh!$E$84:$X$84,"&lt;100")</f>
        <v>1</v>
      </c>
      <c r="R16" s="481">
        <f>COUNTIFS(payesh!$E$80:$X$80,"*انقلاب*",payesh!$E$86:$X$86,"&gt;100")</f>
        <v>1</v>
      </c>
      <c r="S16" s="412">
        <f t="shared" si="0"/>
        <v>0</v>
      </c>
      <c r="T16" s="482">
        <f>SUMIF(payesh!$E$80:$X$80,"*انقلاب*",payesh!$E$86:$X$86)</f>
        <v>210000000</v>
      </c>
    </row>
    <row r="17" spans="2:20" ht="18" x14ac:dyDescent="0.25">
      <c r="B17" s="149">
        <v>14</v>
      </c>
      <c r="C17" s="156"/>
      <c r="D17" s="147">
        <f>COUNTIF(payesh!$E$5:$X$5,"نام روستا")</f>
        <v>0</v>
      </c>
      <c r="F17" s="139" t="s">
        <v>249</v>
      </c>
      <c r="G17" s="154">
        <f>COUNTIF($D$4:$D$23,"14")</f>
        <v>0</v>
      </c>
      <c r="N17" s="411">
        <v>4</v>
      </c>
      <c r="O17" s="412" t="s">
        <v>561</v>
      </c>
      <c r="P17" s="483">
        <f>COUNTIF(payesh!$E$80:$X$80,"خیابان حسن اباد")</f>
        <v>3</v>
      </c>
      <c r="Q17" s="187">
        <f>COUNTIFS(payesh!$E$80:$X$80,"*خیابان حسن اباد*",payesh!$E$84:$X$84,"&lt;100")</f>
        <v>2</v>
      </c>
      <c r="R17" s="481">
        <f>COUNTIFS(payesh!$E$80:$X$80,"*خیابان حسن اباد*",payesh!$E$86:$X$86,"&gt;100")</f>
        <v>2</v>
      </c>
      <c r="S17" s="412">
        <f t="shared" si="0"/>
        <v>1</v>
      </c>
      <c r="T17" s="482">
        <f>SUMIF(payesh!$E$80:$X$80,"*خیابان حسن اباد*",payesh!$E$86:$X$86)</f>
        <v>480000000</v>
      </c>
    </row>
    <row r="18" spans="2:20" ht="18" x14ac:dyDescent="0.25">
      <c r="B18" s="149">
        <v>15</v>
      </c>
      <c r="C18" s="156"/>
      <c r="D18" s="147">
        <f>COUNTIF(payesh!$E$5:$X$5,"نام روستا")</f>
        <v>0</v>
      </c>
      <c r="F18" s="139" t="s">
        <v>250</v>
      </c>
      <c r="G18" s="154">
        <f>COUNTIF($D$4:$D$23,"15")</f>
        <v>0</v>
      </c>
      <c r="N18" s="411">
        <v>5</v>
      </c>
      <c r="O18" s="412"/>
      <c r="P18" s="483">
        <f>COUNTIF(payesh!$E$80:$X$80,"نام")</f>
        <v>0</v>
      </c>
      <c r="Q18" s="187">
        <f>COUNTIFS(payesh!$E$80:$X$80,"*نام*",payesh!$E$84:$X$84,"&lt;100")</f>
        <v>0</v>
      </c>
      <c r="R18" s="481">
        <f>COUNTIFS(payesh!$E$80:$X$80,"*نام*",payesh!$E$86:$X$86,"&gt;100")</f>
        <v>0</v>
      </c>
      <c r="S18" s="412">
        <f t="shared" si="0"/>
        <v>0</v>
      </c>
      <c r="T18" s="482">
        <f>SUMIF(payesh!$E$80:$X$80,"*نام*",payesh!$E$86:$X$86)</f>
        <v>0</v>
      </c>
    </row>
    <row r="19" spans="2:20" ht="18.75" thickBot="1" x14ac:dyDescent="0.3">
      <c r="B19" s="149">
        <v>16</v>
      </c>
      <c r="C19" s="156"/>
      <c r="D19" s="147">
        <f>COUNTIF(payesh!$E$5:$X$5,"نام روستا")</f>
        <v>0</v>
      </c>
      <c r="F19" s="139" t="s">
        <v>251</v>
      </c>
      <c r="G19" s="154">
        <f>COUNTIF($D$4:$D$23,"16")</f>
        <v>0</v>
      </c>
      <c r="N19" s="597" t="s">
        <v>106</v>
      </c>
      <c r="O19" s="598"/>
      <c r="P19" s="489">
        <f>SUM(P14:P18)</f>
        <v>14</v>
      </c>
      <c r="Q19" s="189">
        <f>SUM(Q14:Q18)</f>
        <v>8</v>
      </c>
      <c r="R19" s="490">
        <f>SUM(R14:R18)</f>
        <v>8</v>
      </c>
      <c r="S19" s="414">
        <f>SUM(S14:S18)</f>
        <v>6</v>
      </c>
      <c r="T19" s="491">
        <f>SUM(T14:T18)</f>
        <v>1745000000</v>
      </c>
    </row>
    <row r="20" spans="2:20" ht="18" x14ac:dyDescent="0.25">
      <c r="B20" s="149">
        <v>17</v>
      </c>
      <c r="C20" s="156"/>
      <c r="D20" s="147">
        <f>COUNTIF(payesh!$E$5:$X$5,"نام روستا")</f>
        <v>0</v>
      </c>
      <c r="F20" s="139" t="s">
        <v>252</v>
      </c>
      <c r="G20" s="154">
        <f>COUNTIF($D$4:$D$23,"17")</f>
        <v>0</v>
      </c>
      <c r="N20" s="484" t="s">
        <v>71</v>
      </c>
      <c r="O20" s="485" t="s">
        <v>547</v>
      </c>
      <c r="P20" s="410" t="s">
        <v>554</v>
      </c>
      <c r="Q20" s="487" t="s">
        <v>558</v>
      </c>
      <c r="R20" s="488" t="s">
        <v>556</v>
      </c>
    </row>
    <row r="21" spans="2:20" ht="18" x14ac:dyDescent="0.25">
      <c r="B21" s="149">
        <v>18</v>
      </c>
      <c r="C21" s="156"/>
      <c r="D21" s="147">
        <f>COUNTIF(payesh!$E$5:$X$5,"نام روستا")</f>
        <v>0</v>
      </c>
      <c r="F21" s="139" t="s">
        <v>253</v>
      </c>
      <c r="G21" s="154">
        <f>COUNTIF($D$4:$D$23,"18")</f>
        <v>0</v>
      </c>
      <c r="N21" s="411">
        <v>1</v>
      </c>
      <c r="O21" s="412" t="s">
        <v>562</v>
      </c>
      <c r="P21" s="187">
        <f>COUNTIFS(payesh!$E$80:$X$80,"*روستا حسن اباد*",payesh!$E$97:$X$97,"&lt;100")</f>
        <v>0</v>
      </c>
      <c r="Q21" s="481">
        <f>COUNTIFS(payesh!$E$80:$X$80,"*روستا حسن اباد*",payesh!$E$99:$X$99,"&gt;100")</f>
        <v>0</v>
      </c>
      <c r="R21" s="482">
        <f>SUMIF(payesh!$E$80:$X$80,"*حسن ابادروستا *",payesh!$E$99:$X$99)</f>
        <v>0</v>
      </c>
    </row>
    <row r="22" spans="2:20" ht="18" x14ac:dyDescent="0.25">
      <c r="B22" s="149">
        <v>19</v>
      </c>
      <c r="C22" s="156"/>
      <c r="D22" s="147">
        <f>COUNTIF(payesh!$E$5:$X$5,"نام روستا")</f>
        <v>0</v>
      </c>
      <c r="F22" s="139" t="s">
        <v>254</v>
      </c>
      <c r="G22" s="154">
        <f>COUNTIF($D$4:$D$23,"19")</f>
        <v>0</v>
      </c>
      <c r="N22" s="411">
        <v>2</v>
      </c>
      <c r="O22" s="412" t="s">
        <v>548</v>
      </c>
      <c r="P22" s="187">
        <f>COUNTIFS(payesh!$E$80:$X$80,"*شویشه*",payesh!$E$97:$X$97,"&lt;100")</f>
        <v>0</v>
      </c>
      <c r="Q22" s="481">
        <f>COUNTIFS(payesh!$E$80:$X$80,"*شویشه*",payesh!$E$99:$X$99,"&gt;100")</f>
        <v>0</v>
      </c>
      <c r="R22" s="482">
        <f>SUMIF(payesh!$E$80:$X$80,"*شویشه*",payesh!$E$99:$X$99)</f>
        <v>0</v>
      </c>
    </row>
    <row r="23" spans="2:20" ht="18.75" thickBot="1" x14ac:dyDescent="0.3">
      <c r="B23" s="149">
        <v>20</v>
      </c>
      <c r="C23" s="156"/>
      <c r="D23" s="147">
        <f>COUNTIF(payesh!$E$5:$X$5,"نام روستا")</f>
        <v>0</v>
      </c>
      <c r="F23" s="140" t="s">
        <v>255</v>
      </c>
      <c r="G23" s="155">
        <f>COUNTIF($D$4:$D$23,"20")</f>
        <v>0</v>
      </c>
      <c r="N23" s="411">
        <v>3</v>
      </c>
      <c r="O23" s="412" t="s">
        <v>546</v>
      </c>
      <c r="P23" s="187">
        <f>COUNTIFS(payesh!$E$80:$X$80,"*انقلاب*",payesh!$E$97:$X$97,"&lt;100")</f>
        <v>0</v>
      </c>
      <c r="Q23" s="481">
        <f>COUNTIFS(payesh!$E$80:$X$80,"*انقلاب*",payesh!$E$99:$X$99,"&gt;100")</f>
        <v>0</v>
      </c>
      <c r="R23" s="482">
        <f>SUMIF(payesh!$E$80:$X$80,"*انقلاب*",payesh!$E$99:$X$99)</f>
        <v>0</v>
      </c>
    </row>
    <row r="24" spans="2:20" ht="19.5" thickBot="1" x14ac:dyDescent="0.3">
      <c r="B24" s="397" t="s">
        <v>106</v>
      </c>
      <c r="C24" s="398">
        <f>SUM(D24:D24)</f>
        <v>14</v>
      </c>
      <c r="D24" s="399">
        <f>SUM(D4:D23)</f>
        <v>14</v>
      </c>
      <c r="F24" s="150" t="s">
        <v>106</v>
      </c>
      <c r="G24" s="151">
        <f>SUM(G4:G23)</f>
        <v>6</v>
      </c>
      <c r="N24" s="411">
        <v>4</v>
      </c>
      <c r="O24" s="412" t="s">
        <v>561</v>
      </c>
      <c r="P24" s="187">
        <f>COUNTIFS(payesh!$E$80:$X$80,"*خیابان حسن اباد*",payesh!$E$97:$X$97,"&lt;100")</f>
        <v>0</v>
      </c>
      <c r="Q24" s="481">
        <f>COUNTIFS(payesh!$E$80:$X$80,"*خیابان حسن اباد*",payesh!$E$99:$X$99,"&gt;100")</f>
        <v>0</v>
      </c>
      <c r="R24" s="482">
        <f>SUMIF(payesh!$E$80:$X$80,"*خیابان حسن اباد*",payesh!$E$99:$X$99)</f>
        <v>0</v>
      </c>
    </row>
    <row r="25" spans="2:20" x14ac:dyDescent="0.25">
      <c r="N25" s="411">
        <v>5</v>
      </c>
      <c r="O25" s="412"/>
      <c r="P25" s="187">
        <f>COUNTIFS(payesh!$E$80:$X$80,"*نام*",payesh!$E$97:$X$97,"&lt;100")</f>
        <v>0</v>
      </c>
      <c r="Q25" s="481">
        <f>COUNTIFS(payesh!$E$80:$X$80,"*نام*",payesh!$E$99:$X$99,"&gt;100")</f>
        <v>0</v>
      </c>
      <c r="R25" s="482">
        <f>SUMIF(payesh!$E$80:$X$80,"*نام*",payesh!$E$86:$X$99)</f>
        <v>0</v>
      </c>
    </row>
    <row r="26" spans="2:20" ht="18.75" thickBot="1" x14ac:dyDescent="0.3">
      <c r="N26" s="597" t="s">
        <v>106</v>
      </c>
      <c r="O26" s="598"/>
      <c r="P26" s="189">
        <f>SUM(P21:P25)</f>
        <v>0</v>
      </c>
      <c r="Q26" s="490">
        <f>SUM(Q21:Q25)</f>
        <v>0</v>
      </c>
      <c r="R26" s="491">
        <f>SUM(R21:R25)</f>
        <v>0</v>
      </c>
    </row>
    <row r="27" spans="2:20" ht="18" x14ac:dyDescent="0.25">
      <c r="N27" s="484" t="s">
        <v>71</v>
      </c>
      <c r="O27" s="485" t="s">
        <v>547</v>
      </c>
      <c r="P27" s="410" t="s">
        <v>554</v>
      </c>
      <c r="Q27" s="487" t="s">
        <v>559</v>
      </c>
      <c r="R27" s="488" t="s">
        <v>556</v>
      </c>
    </row>
    <row r="28" spans="2:20" x14ac:dyDescent="0.25">
      <c r="N28" s="411">
        <v>1</v>
      </c>
      <c r="O28" s="412" t="s">
        <v>562</v>
      </c>
      <c r="P28" s="187">
        <f>COUNTIFS(payesh!$E$80:$X$80,"*روستا حسن اباد*",payesh!$E$110:$X$110,"&lt;100")</f>
        <v>0</v>
      </c>
      <c r="Q28" s="481">
        <f>COUNTIFS(payesh!$E$80:$X$80,"*روستا حسن اباد*",payesh!$E$112:$X$112,"&gt;100")</f>
        <v>0</v>
      </c>
      <c r="R28" s="482">
        <f>SUMIF(payesh!$E$80:$X$80,"*روستا حسن اباد*",payesh!$E$112:$X$112)</f>
        <v>0</v>
      </c>
    </row>
    <row r="29" spans="2:20" x14ac:dyDescent="0.25">
      <c r="N29" s="411">
        <v>2</v>
      </c>
      <c r="O29" s="412" t="s">
        <v>548</v>
      </c>
      <c r="P29" s="187">
        <f>COUNTIFS(payesh!$E$80:$X$80,"*شویشه*",payesh!$E$110:$X$110,"&lt;100")</f>
        <v>0</v>
      </c>
      <c r="Q29" s="481">
        <f>COUNTIFS(payesh!$E$80:$X$80,"*شویشه*",payesh!$E$112:$X$112,"&gt;100")</f>
        <v>0</v>
      </c>
      <c r="R29" s="482">
        <f>SUMIF(payesh!$E$80:$X$80,"*شویشه*",payesh!$E$112:$X$112)</f>
        <v>0</v>
      </c>
    </row>
    <row r="30" spans="2:20" x14ac:dyDescent="0.25">
      <c r="N30" s="411">
        <v>3</v>
      </c>
      <c r="O30" s="412" t="s">
        <v>546</v>
      </c>
      <c r="P30" s="187">
        <f>COUNTIFS(payesh!$E$80:$X$80,"*انقلاب*",payesh!$E$110:$X$110,"&lt;100")</f>
        <v>0</v>
      </c>
      <c r="Q30" s="481">
        <f>COUNTIFS(payesh!$E$80:$X$80,"*انقلاب*",payesh!$E$112:$X$112,"&gt;100")</f>
        <v>0</v>
      </c>
      <c r="R30" s="482">
        <f>SUMIF(payesh!$E$80:$X$80,"*انقلاب*",payesh!$E$112:$X$112)</f>
        <v>0</v>
      </c>
    </row>
    <row r="31" spans="2:20" x14ac:dyDescent="0.25">
      <c r="N31" s="411">
        <v>4</v>
      </c>
      <c r="O31" s="412" t="s">
        <v>561</v>
      </c>
      <c r="P31" s="187">
        <f>COUNTIFS(payesh!$E$80:$X$80,"*خیابان حسن اباد*",payesh!$E$110:$X$110,"&lt;100")</f>
        <v>0</v>
      </c>
      <c r="Q31" s="481">
        <f>COUNTIFS(payesh!$E$80:$X$80,"*خیابان حسن اباد*",payesh!$E$112:$X$112,"&gt;100")</f>
        <v>0</v>
      </c>
      <c r="R31" s="482">
        <f>SUMIF(payesh!$E$80:$X$80,"*خیابان حسن اباد*",payesh!$E$112:$X$112)</f>
        <v>0</v>
      </c>
    </row>
    <row r="32" spans="2:20" x14ac:dyDescent="0.25">
      <c r="N32" s="411">
        <v>5</v>
      </c>
      <c r="O32" s="412"/>
      <c r="P32" s="187">
        <f>COUNTIFS(payesh!$E$80:$X$80,"*نام*",payesh!$E$110:$X$110,"&lt;100")</f>
        <v>0</v>
      </c>
      <c r="Q32" s="481">
        <f>COUNTIFS(payesh!$E$80:$X$80,"*نام*",payesh!$E$112:$X$112,"&gt;100")</f>
        <v>0</v>
      </c>
      <c r="R32" s="482">
        <f>SUMIF(payesh!$E$80:$X$80,"*نام*",payesh!$E$112:$X$112)</f>
        <v>0</v>
      </c>
    </row>
    <row r="33" spans="14:18" ht="18.75" thickBot="1" x14ac:dyDescent="0.3">
      <c r="N33" s="597" t="s">
        <v>106</v>
      </c>
      <c r="O33" s="598"/>
      <c r="P33" s="189">
        <f>SUM(P28:P32)</f>
        <v>0</v>
      </c>
      <c r="Q33" s="490">
        <f>SUM(Q28:Q32)</f>
        <v>0</v>
      </c>
      <c r="R33" s="491">
        <f>SUM(R28:R32)</f>
        <v>0</v>
      </c>
    </row>
    <row r="34" spans="14:18" ht="18" x14ac:dyDescent="0.25">
      <c r="N34" s="484" t="s">
        <v>71</v>
      </c>
      <c r="O34" s="485" t="s">
        <v>547</v>
      </c>
      <c r="P34" s="410" t="s">
        <v>554</v>
      </c>
      <c r="Q34" s="487" t="s">
        <v>560</v>
      </c>
      <c r="R34" s="488" t="s">
        <v>556</v>
      </c>
    </row>
    <row r="35" spans="14:18" x14ac:dyDescent="0.25">
      <c r="N35" s="411">
        <v>1</v>
      </c>
      <c r="O35" s="412" t="s">
        <v>562</v>
      </c>
      <c r="P35" s="187">
        <f>COUNTIFS(payesh!$E$80:$X$80,"*روستا حسن اباد*",payesh!$E$123:$X$123,"&lt;100")</f>
        <v>0</v>
      </c>
      <c r="Q35" s="481">
        <f>COUNTIFS(payesh!$E$80:$X$80,"*روستا حسن اباد*",payesh!$E$126:$X$126,"&gt;100")</f>
        <v>0</v>
      </c>
      <c r="R35" s="482">
        <f>SUMIF(payesh!$E$80:$X$80,"*روستا حسن اباد*",payesh!$E$126:$X$126)</f>
        <v>0</v>
      </c>
    </row>
    <row r="36" spans="14:18" x14ac:dyDescent="0.25">
      <c r="N36" s="411">
        <v>2</v>
      </c>
      <c r="O36" s="412" t="s">
        <v>548</v>
      </c>
      <c r="P36" s="187">
        <f>COUNTIFS(payesh!$E$80:$X$80,"*شویشه*",payesh!$E$123:$X$123,"&lt;100")</f>
        <v>0</v>
      </c>
      <c r="Q36" s="481">
        <f>COUNTIFS(payesh!$E$80:$X$80,"*شویشه*",payesh!$E$126:$X$126,"&gt;100")</f>
        <v>0</v>
      </c>
      <c r="R36" s="482">
        <f>SUMIF(payesh!$E$80:$X$80,"*شویشه*",payesh!$E$126:$X$126)</f>
        <v>0</v>
      </c>
    </row>
    <row r="37" spans="14:18" x14ac:dyDescent="0.25">
      <c r="N37" s="411">
        <v>3</v>
      </c>
      <c r="O37" s="412" t="s">
        <v>546</v>
      </c>
      <c r="P37" s="187">
        <f>COUNTIFS(payesh!$E$80:$X$80,"*انقلاب*",payesh!$E$123:$X$123,"&lt;100")</f>
        <v>0</v>
      </c>
      <c r="Q37" s="481">
        <f>COUNTIFS(payesh!$E$80:$X$80,"*انقلاب*",payesh!$E$126:$X$126,"&gt;100")</f>
        <v>0</v>
      </c>
      <c r="R37" s="482">
        <f>SUMIF(payesh!$E$80:$X$80,"*انقلاب*",payesh!$E$126:$X$126)</f>
        <v>0</v>
      </c>
    </row>
    <row r="38" spans="14:18" x14ac:dyDescent="0.25">
      <c r="N38" s="411">
        <v>4</v>
      </c>
      <c r="O38" s="412" t="s">
        <v>561</v>
      </c>
      <c r="P38" s="187">
        <f>COUNTIFS(payesh!$E$80:$X$80,"*خیابان حسن اباد*",payesh!$E$123:$X$123,"&lt;100")</f>
        <v>0</v>
      </c>
      <c r="Q38" s="481">
        <f>COUNTIFS(payesh!$E$80:$X$80,"*خیابان حسن اباد*",payesh!$E$126:$X$126,"&gt;100")</f>
        <v>0</v>
      </c>
      <c r="R38" s="482">
        <f>SUMIF(payesh!$E$80:$X$80,"*خیابان حسن اباد*",payesh!$E$126:$X$126)</f>
        <v>0</v>
      </c>
    </row>
    <row r="39" spans="14:18" x14ac:dyDescent="0.25">
      <c r="N39" s="411">
        <v>5</v>
      </c>
      <c r="O39" s="412"/>
      <c r="P39" s="187">
        <f>COUNTIFS(payesh!$E$80:$X$80,"*نام*",payesh!$E$123:$X$123,"&lt;100")</f>
        <v>0</v>
      </c>
      <c r="Q39" s="481">
        <f>COUNTIFS(payesh!$E$80:$X$80,"*نام*",payesh!$E$126:$X$126,"&gt;100")</f>
        <v>0</v>
      </c>
      <c r="R39" s="482">
        <f>SUMIF(payesh!$E$80:$X$80,"*نام*",payesh!$E$126:$X$126)</f>
        <v>0</v>
      </c>
    </row>
    <row r="40" spans="14:18" ht="18.75" thickBot="1" x14ac:dyDescent="0.3">
      <c r="N40" s="597" t="s">
        <v>106</v>
      </c>
      <c r="O40" s="598"/>
      <c r="P40" s="189">
        <f>SUM(P35:P39)</f>
        <v>0</v>
      </c>
      <c r="Q40" s="490">
        <f>SUM(Q35:Q39)</f>
        <v>0</v>
      </c>
      <c r="R40" s="491">
        <f>SUM(R35:R39)</f>
        <v>0</v>
      </c>
    </row>
  </sheetData>
  <sheetProtection algorithmName="SHA-512" hashValue="d/qi+jO23a/tJAx6Lcleo16p0662vlCGxI6AQQqOOy+BVJGrFiVTKDrN75fDGtN1UWhrDewWtkBZWEvK8MBpQg==" saltValue="C7Oq0BqivB9LpouESEPl+A==" spinCount="100000" sheet="1" objects="1" scenarios="1"/>
  <mergeCells count="6">
    <mergeCell ref="N40:O40"/>
    <mergeCell ref="N10:P10"/>
    <mergeCell ref="I15:K15"/>
    <mergeCell ref="N19:O19"/>
    <mergeCell ref="N26:O26"/>
    <mergeCell ref="N33:O33"/>
  </mergeCells>
  <conditionalFormatting sqref="G4:G23">
    <cfRule type="dataBar" priority="19">
      <dataBar>
        <cfvo type="min"/>
        <cfvo type="max"/>
        <color rgb="FFFF555A"/>
      </dataBar>
      <extLst>
        <ext xmlns:x14="http://schemas.microsoft.com/office/spreadsheetml/2009/9/main" uri="{B025F937-C7B1-47D3-B67F-A62EFF666E3E}">
          <x14:id>{03590409-380D-432F-8A9D-8E1B0270D53C}</x14:id>
        </ext>
      </extLst>
    </cfRule>
  </conditionalFormatting>
  <conditionalFormatting sqref="G24">
    <cfRule type="dataBar" priority="18">
      <dataBar>
        <cfvo type="min"/>
        <cfvo type="max"/>
        <color rgb="FFFF555A"/>
      </dataBar>
      <extLst>
        <ext xmlns:x14="http://schemas.microsoft.com/office/spreadsheetml/2009/9/main" uri="{B025F937-C7B1-47D3-B67F-A62EFF666E3E}">
          <x14:id>{691DE90D-2A9D-443F-8930-75D072830E5A}</x14:id>
        </ext>
      </extLst>
    </cfRule>
  </conditionalFormatting>
  <conditionalFormatting sqref="G3">
    <cfRule type="dataBar" priority="17">
      <dataBar>
        <cfvo type="min"/>
        <cfvo type="max"/>
        <color rgb="FFFF555A"/>
      </dataBar>
      <extLst>
        <ext xmlns:x14="http://schemas.microsoft.com/office/spreadsheetml/2009/9/main" uri="{B025F937-C7B1-47D3-B67F-A62EFF666E3E}">
          <x14:id>{442A9F5A-BC9A-4AAB-879B-2CDAEE65E4DF}</x14:id>
        </ext>
      </extLst>
    </cfRule>
  </conditionalFormatting>
  <conditionalFormatting sqref="L15">
    <cfRule type="dataBar" priority="14">
      <dataBar>
        <cfvo type="min"/>
        <cfvo type="max"/>
        <color rgb="FFFF555A"/>
      </dataBar>
      <extLst>
        <ext xmlns:x14="http://schemas.microsoft.com/office/spreadsheetml/2009/9/main" uri="{B025F937-C7B1-47D3-B67F-A62EFF666E3E}">
          <x14:id>{D85AA768-5FBE-44C8-B640-69D2CF995088}</x14:id>
        </ext>
      </extLst>
    </cfRule>
  </conditionalFormatting>
  <conditionalFormatting sqref="Q5:Q9">
    <cfRule type="dataBar" priority="11">
      <dataBar>
        <cfvo type="min"/>
        <cfvo type="max"/>
        <color rgb="FFD6007B"/>
      </dataBar>
      <extLst>
        <ext xmlns:x14="http://schemas.microsoft.com/office/spreadsheetml/2009/9/main" uri="{B025F937-C7B1-47D3-B67F-A62EFF666E3E}">
          <x14:id>{88553D8A-19FA-41D9-9C73-9C45F79B5E55}</x14:id>
        </ext>
      </extLst>
    </cfRule>
  </conditionalFormatting>
  <conditionalFormatting sqref="D4:D23">
    <cfRule type="dataBar" priority="24">
      <dataBar>
        <cfvo type="min"/>
        <cfvo type="max"/>
        <color rgb="FFD6007B"/>
      </dataBar>
      <extLst>
        <ext xmlns:x14="http://schemas.microsoft.com/office/spreadsheetml/2009/9/main" uri="{B025F937-C7B1-47D3-B67F-A62EFF666E3E}">
          <x14:id>{AC7434DC-115B-43DA-8CD5-2966DC660970}</x14:id>
        </ext>
      </extLst>
    </cfRule>
  </conditionalFormatting>
  <conditionalFormatting sqref="L5:L14">
    <cfRule type="dataBar" priority="25">
      <dataBar>
        <cfvo type="min"/>
        <cfvo type="max"/>
        <color rgb="FFD6007B"/>
      </dataBar>
      <extLst>
        <ext xmlns:x14="http://schemas.microsoft.com/office/spreadsheetml/2009/9/main" uri="{B025F937-C7B1-47D3-B67F-A62EFF666E3E}">
          <x14:id>{A52A0676-2619-4086-BAD3-187AD36E58B4}</x14:id>
        </ext>
      </extLst>
    </cfRule>
  </conditionalFormatting>
  <conditionalFormatting sqref="P14:P18">
    <cfRule type="dataBar" priority="9">
      <dataBar>
        <cfvo type="min"/>
        <cfvo type="max"/>
        <color rgb="FFD6007B"/>
      </dataBar>
      <extLst>
        <ext xmlns:x14="http://schemas.microsoft.com/office/spreadsheetml/2009/9/main" uri="{B025F937-C7B1-47D3-B67F-A62EFF666E3E}">
          <x14:id>{AF11B2FD-0D5C-4435-A128-445CDBFF8C60}</x14:id>
        </ext>
      </extLst>
    </cfRule>
  </conditionalFormatting>
  <conditionalFormatting sqref="T14:T18">
    <cfRule type="dataBar" priority="5">
      <dataBar>
        <cfvo type="min"/>
        <cfvo type="max"/>
        <color rgb="FFD6007B"/>
      </dataBar>
      <extLst>
        <ext xmlns:x14="http://schemas.microsoft.com/office/spreadsheetml/2009/9/main" uri="{B025F937-C7B1-47D3-B67F-A62EFF666E3E}">
          <x14:id>{00E50564-00BA-4193-B5A7-37B7FAAB59B5}</x14:id>
        </ext>
      </extLst>
    </cfRule>
  </conditionalFormatting>
  <conditionalFormatting sqref="R21:R25">
    <cfRule type="dataBar" priority="3">
      <dataBar>
        <cfvo type="min"/>
        <cfvo type="max"/>
        <color rgb="FFD6007B"/>
      </dataBar>
      <extLst>
        <ext xmlns:x14="http://schemas.microsoft.com/office/spreadsheetml/2009/9/main" uri="{B025F937-C7B1-47D3-B67F-A62EFF666E3E}">
          <x14:id>{07259BE2-B760-4C87-BF39-1AEA46986E1F}</x14:id>
        </ext>
      </extLst>
    </cfRule>
  </conditionalFormatting>
  <conditionalFormatting sqref="R28:R32">
    <cfRule type="dataBar" priority="2">
      <dataBar>
        <cfvo type="min"/>
        <cfvo type="max"/>
        <color rgb="FFD6007B"/>
      </dataBar>
      <extLst>
        <ext xmlns:x14="http://schemas.microsoft.com/office/spreadsheetml/2009/9/main" uri="{B025F937-C7B1-47D3-B67F-A62EFF666E3E}">
          <x14:id>{06862B1C-3F83-4154-9C5F-5F895BD6510E}</x14:id>
        </ext>
      </extLst>
    </cfRule>
  </conditionalFormatting>
  <conditionalFormatting sqref="R35:R39">
    <cfRule type="dataBar" priority="1">
      <dataBar>
        <cfvo type="min"/>
        <cfvo type="max"/>
        <color rgb="FFD6007B"/>
      </dataBar>
      <extLst>
        <ext xmlns:x14="http://schemas.microsoft.com/office/spreadsheetml/2009/9/main" uri="{B025F937-C7B1-47D3-B67F-A62EFF666E3E}">
          <x14:id>{83501865-F454-4BE0-961D-DF29C8A2BF72}</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G4:G23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G24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G3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L15</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Q5:Q9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D4:D23</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L5:L14</xm:sqref>
        </x14:conditionalFormatting>
        <x14:conditionalFormatting xmlns:xm="http://schemas.microsoft.com/office/excel/2006/main">
          <x14:cfRule type="dataBar" id="{AF11B2FD-0D5C-4435-A128-445CDBFF8C60}">
            <x14:dataBar minLength="0" maxLength="100" border="1" negativeBarBorderColorSameAsPositive="0">
              <x14:cfvo type="autoMin"/>
              <x14:cfvo type="autoMax"/>
              <x14:borderColor rgb="FFD6007B"/>
              <x14:negativeFillColor rgb="FFFF0000"/>
              <x14:negativeBorderColor rgb="FFFF0000"/>
              <x14:axisColor rgb="FF000000"/>
            </x14:dataBar>
          </x14:cfRule>
          <xm:sqref>P14:P18</xm:sqref>
        </x14:conditionalFormatting>
        <x14:conditionalFormatting xmlns:xm="http://schemas.microsoft.com/office/excel/2006/main">
          <x14:cfRule type="dataBar" id="{00E50564-00BA-4193-B5A7-37B7FAAB59B5}">
            <x14:dataBar minLength="0" maxLength="100" border="1" negativeBarBorderColorSameAsPositive="0">
              <x14:cfvo type="autoMin"/>
              <x14:cfvo type="autoMax"/>
              <x14:borderColor rgb="FFD6007B"/>
              <x14:negativeFillColor rgb="FFFF0000"/>
              <x14:negativeBorderColor rgb="FFFF0000"/>
              <x14:axisColor rgb="FF000000"/>
            </x14:dataBar>
          </x14:cfRule>
          <xm:sqref>T14:T18</xm:sqref>
        </x14:conditionalFormatting>
        <x14:conditionalFormatting xmlns:xm="http://schemas.microsoft.com/office/excel/2006/main">
          <x14:cfRule type="dataBar" id="{07259BE2-B760-4C87-BF39-1AEA46986E1F}">
            <x14:dataBar minLength="0" maxLength="100" border="1" negativeBarBorderColorSameAsPositive="0">
              <x14:cfvo type="autoMin"/>
              <x14:cfvo type="autoMax"/>
              <x14:borderColor rgb="FFD6007B"/>
              <x14:negativeFillColor rgb="FFFF0000"/>
              <x14:negativeBorderColor rgb="FFFF0000"/>
              <x14:axisColor rgb="FF000000"/>
            </x14:dataBar>
          </x14:cfRule>
          <xm:sqref>R21:R25</xm:sqref>
        </x14:conditionalFormatting>
        <x14:conditionalFormatting xmlns:xm="http://schemas.microsoft.com/office/excel/2006/main">
          <x14:cfRule type="dataBar" id="{06862B1C-3F83-4154-9C5F-5F895BD6510E}">
            <x14:dataBar minLength="0" maxLength="100" border="1" negativeBarBorderColorSameAsPositive="0">
              <x14:cfvo type="autoMin"/>
              <x14:cfvo type="autoMax"/>
              <x14:borderColor rgb="FFD6007B"/>
              <x14:negativeFillColor rgb="FFFF0000"/>
              <x14:negativeBorderColor rgb="FFFF0000"/>
              <x14:axisColor rgb="FF000000"/>
            </x14:dataBar>
          </x14:cfRule>
          <xm:sqref>R28:R32</xm:sqref>
        </x14:conditionalFormatting>
        <x14:conditionalFormatting xmlns:xm="http://schemas.microsoft.com/office/excel/2006/main">
          <x14:cfRule type="dataBar" id="{83501865-F454-4BE0-961D-DF29C8A2BF72}">
            <x14:dataBar minLength="0" maxLength="100" border="1" negativeBarBorderColorSameAsPositive="0">
              <x14:cfvo type="autoMin"/>
              <x14:cfvo type="autoMax"/>
              <x14:borderColor rgb="FFD6007B"/>
              <x14:negativeFillColor rgb="FFFF0000"/>
              <x14:negativeBorderColor rgb="FFFF0000"/>
              <x14:axisColor rgb="FF000000"/>
            </x14:dataBar>
          </x14:cfRule>
          <xm:sqref>R35:R39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24"/>
  <sheetViews>
    <sheetView rightToLeft="1" topLeftCell="A7" workbookViewId="0">
      <selection activeCell="B16" sqref="B16"/>
    </sheetView>
  </sheetViews>
  <sheetFormatPr defaultRowHeight="18" x14ac:dyDescent="0.25"/>
  <cols>
    <col min="1" max="1" width="20.140625" style="70" customWidth="1"/>
    <col min="2" max="5" width="9.140625" style="70"/>
    <col min="6" max="6" width="12.42578125" style="70" customWidth="1"/>
    <col min="7" max="7" width="15.5703125" style="70" customWidth="1"/>
    <col min="8" max="8" width="15" style="70" customWidth="1"/>
    <col min="9" max="9" width="12.85546875" style="70" customWidth="1"/>
    <col min="10" max="10" width="15.42578125" style="70" customWidth="1"/>
    <col min="11" max="11" width="9.140625" style="70"/>
    <col min="12" max="14" width="11.5703125" style="70" customWidth="1"/>
    <col min="15" max="15" width="13" style="70" customWidth="1"/>
    <col min="16" max="16" width="18.5703125" style="70" customWidth="1"/>
    <col min="17" max="17" width="14" style="70" customWidth="1"/>
    <col min="18" max="16384" width="9.140625" style="70"/>
  </cols>
  <sheetData>
    <row r="3" spans="1:17" ht="18.75" thickBot="1" x14ac:dyDescent="0.3"/>
    <row r="4" spans="1:17" ht="19.5" thickBot="1" x14ac:dyDescent="0.5">
      <c r="A4" s="142" t="s">
        <v>229</v>
      </c>
      <c r="B4" s="145">
        <f>COUNTIF(J5:J24,"در مرحله افتتاح حساب")</f>
        <v>0</v>
      </c>
      <c r="D4" s="348" t="s">
        <v>71</v>
      </c>
      <c r="E4" s="349" t="s">
        <v>222</v>
      </c>
      <c r="F4" s="349" t="s">
        <v>223</v>
      </c>
      <c r="G4" s="349" t="s">
        <v>224</v>
      </c>
      <c r="H4" s="349" t="s">
        <v>225</v>
      </c>
      <c r="I4" s="349" t="s">
        <v>9</v>
      </c>
      <c r="J4" s="349" t="s">
        <v>226</v>
      </c>
      <c r="K4" s="349" t="s">
        <v>0</v>
      </c>
      <c r="L4" s="350" t="str">
        <f>payesh!D19</f>
        <v>نام گروه‌یار</v>
      </c>
      <c r="M4" s="350" t="str">
        <f>payesh!D20</f>
        <v>نام خزانه‌دار</v>
      </c>
      <c r="N4" s="350" t="str">
        <f>payesh!D21</f>
        <v>نام منشی</v>
      </c>
      <c r="O4" s="349" t="s">
        <v>227</v>
      </c>
      <c r="P4" s="349" t="s">
        <v>204</v>
      </c>
      <c r="Q4" s="351" t="s">
        <v>228</v>
      </c>
    </row>
    <row r="5" spans="1:17" ht="18.75" thickBot="1" x14ac:dyDescent="0.45">
      <c r="A5" s="143" t="s">
        <v>230</v>
      </c>
      <c r="B5" s="146">
        <f>COUNTIF(J5:J24,"تشکیل شده")</f>
        <v>6</v>
      </c>
      <c r="D5" s="347">
        <f>SHG!B4</f>
        <v>1</v>
      </c>
      <c r="E5" s="338" t="str">
        <f>SHG!C4</f>
        <v>کردستان</v>
      </c>
      <c r="F5" s="330" t="str">
        <f>SHG!D4</f>
        <v>سنندج</v>
      </c>
      <c r="G5" s="330" t="str">
        <f>SHG!E4</f>
        <v>دادانه</v>
      </c>
      <c r="H5" s="331" t="str">
        <f>payesh!E15</f>
        <v>1394/11/06</v>
      </c>
      <c r="I5" s="330" t="str">
        <f>SHG!F4</f>
        <v>كاني بل</v>
      </c>
      <c r="J5" s="332" t="s">
        <v>230</v>
      </c>
      <c r="K5" s="330">
        <f>payesh!E22</f>
        <v>16</v>
      </c>
      <c r="L5" s="330" t="str">
        <f>SHG!P4</f>
        <v>فريبا زماني دادانه</v>
      </c>
      <c r="M5" s="330" t="str">
        <f>SHG!Q4</f>
        <v>كلثومه زماني دادانه</v>
      </c>
      <c r="N5" s="330" t="str">
        <f>SHG!R4</f>
        <v>گلنما زماني دادانه</v>
      </c>
      <c r="O5" s="331">
        <f>SHG!N4</f>
        <v>776189617</v>
      </c>
      <c r="P5" s="330">
        <f>payesh!E62</f>
        <v>2950000</v>
      </c>
      <c r="Q5" s="333">
        <f>payesh!E82</f>
        <v>0</v>
      </c>
    </row>
    <row r="6" spans="1:17" ht="18.75" thickBot="1" x14ac:dyDescent="0.45">
      <c r="A6" s="142" t="s">
        <v>231</v>
      </c>
      <c r="B6" s="145">
        <f>COUNTIF(J5:J24,"اعتبارسنجی شده")</f>
        <v>0</v>
      </c>
      <c r="D6" s="339">
        <f>SHG!B5</f>
        <v>2</v>
      </c>
      <c r="E6" s="341" t="str">
        <f>SHG!C5</f>
        <v>کردستان</v>
      </c>
      <c r="F6" s="342" t="str">
        <f>SHG!D5</f>
        <v>سنندج</v>
      </c>
      <c r="G6" s="342" t="str">
        <f>SHG!E5</f>
        <v>دادانه</v>
      </c>
      <c r="H6" s="343" t="str">
        <f>payesh!F15</f>
        <v>1394/05/21</v>
      </c>
      <c r="I6" s="342" t="str">
        <f>SHG!F5</f>
        <v>ئالا</v>
      </c>
      <c r="J6" s="344" t="s">
        <v>545</v>
      </c>
      <c r="K6" s="342">
        <f>payesh!F22</f>
        <v>16</v>
      </c>
      <c r="L6" s="342" t="str">
        <f>SHG!P5</f>
        <v>حفصه زماني دادانه</v>
      </c>
      <c r="M6" s="342" t="str">
        <f>SHG!Q5</f>
        <v>هانيه زماني دادانه</v>
      </c>
      <c r="N6" s="342" t="str">
        <f>SHG!R5</f>
        <v>شبنم زماني دادانه</v>
      </c>
      <c r="O6" s="343">
        <f>SHG!N5</f>
        <v>784970930</v>
      </c>
      <c r="P6" s="342">
        <f>payesh!F62</f>
        <v>2950000</v>
      </c>
      <c r="Q6" s="345">
        <f>payesh!F82</f>
        <v>210000000</v>
      </c>
    </row>
    <row r="7" spans="1:17" ht="18.75" thickBot="1" x14ac:dyDescent="0.45">
      <c r="A7" s="143" t="s">
        <v>232</v>
      </c>
      <c r="B7" s="146">
        <f>COUNTIF(J5:J24,"مراحل بانکی")</f>
        <v>0</v>
      </c>
      <c r="D7" s="346">
        <f>SHG!B6</f>
        <v>3</v>
      </c>
      <c r="E7" s="340" t="str">
        <f>SHG!C6</f>
        <v>کردستان</v>
      </c>
      <c r="F7" s="334" t="str">
        <f>SHG!D6</f>
        <v>سنندج</v>
      </c>
      <c r="G7" s="334" t="str">
        <f>SHG!E6</f>
        <v>دادانه</v>
      </c>
      <c r="H7" s="335" t="str">
        <f>payesh!G15</f>
        <v>1394/05/21</v>
      </c>
      <c r="I7" s="334" t="str">
        <f>SHG!F6</f>
        <v>باران</v>
      </c>
      <c r="J7" s="336" t="s">
        <v>545</v>
      </c>
      <c r="K7" s="334">
        <f>payesh!G22</f>
        <v>18</v>
      </c>
      <c r="L7" s="334" t="str">
        <f>SHG!P6</f>
        <v>رويا مشايخي نيا</v>
      </c>
      <c r="M7" s="334" t="str">
        <f>SHG!Q6</f>
        <v>چنور محمدي</v>
      </c>
      <c r="N7" s="334" t="str">
        <f>SHG!R6</f>
        <v>سهيلا زماني</v>
      </c>
      <c r="O7" s="335" t="str">
        <f>SHG!N6</f>
        <v>75630775-9</v>
      </c>
      <c r="P7" s="334">
        <f>payesh!G62</f>
        <v>3250000</v>
      </c>
      <c r="Q7" s="337">
        <f>payesh!G82</f>
        <v>225000000</v>
      </c>
    </row>
    <row r="8" spans="1:17" ht="18.75" thickBot="1" x14ac:dyDescent="0.45">
      <c r="A8" s="142" t="s">
        <v>233</v>
      </c>
      <c r="B8" s="145">
        <f>COUNTIF(J5:J24,"دریافت وام بانکی")</f>
        <v>8</v>
      </c>
      <c r="D8" s="339">
        <f>SHG!B7</f>
        <v>4</v>
      </c>
      <c r="E8" s="341" t="str">
        <f>SHG!C7</f>
        <v>کردستان</v>
      </c>
      <c r="F8" s="342" t="str">
        <f>SHG!D7</f>
        <v>سنندج</v>
      </c>
      <c r="G8" s="342" t="str">
        <f>SHG!E7</f>
        <v>زندان</v>
      </c>
      <c r="H8" s="343">
        <f>payesh!H15</f>
        <v>0</v>
      </c>
      <c r="I8" s="342" t="str">
        <f>SHG!F7</f>
        <v>سربرزي</v>
      </c>
      <c r="J8" s="344" t="s">
        <v>230</v>
      </c>
      <c r="K8" s="342">
        <f>payesh!H22</f>
        <v>22</v>
      </c>
      <c r="L8" s="342" t="str">
        <f>SHG!P7</f>
        <v>سيران خسروي</v>
      </c>
      <c r="M8" s="342" t="str">
        <f>SHG!Q7</f>
        <v>بهار خسروي</v>
      </c>
      <c r="N8" s="342" t="str">
        <f>SHG!R7</f>
        <v>چنور قادري</v>
      </c>
      <c r="O8" s="343">
        <f>SHG!N7</f>
        <v>766526260</v>
      </c>
      <c r="P8" s="342">
        <f>payesh!H62</f>
        <v>4080000</v>
      </c>
      <c r="Q8" s="345">
        <f>payesh!H82</f>
        <v>0</v>
      </c>
    </row>
    <row r="9" spans="1:17" ht="18.75" thickBot="1" x14ac:dyDescent="0.45">
      <c r="A9" s="144" t="s">
        <v>106</v>
      </c>
      <c r="B9" s="141">
        <f>SUM(B4:B8)</f>
        <v>14</v>
      </c>
      <c r="D9" s="346">
        <f>SHG!B8</f>
        <v>5</v>
      </c>
      <c r="E9" s="340" t="str">
        <f>SHG!C8</f>
        <v>کردستان</v>
      </c>
      <c r="F9" s="334" t="str">
        <f>SHG!D8</f>
        <v>سنندج</v>
      </c>
      <c r="G9" s="334" t="str">
        <f>SHG!E8</f>
        <v>گندمان</v>
      </c>
      <c r="H9" s="335" t="str">
        <f>payesh!I15</f>
        <v>1394/04/31</v>
      </c>
      <c r="I9" s="334" t="str">
        <f>SHG!F8</f>
        <v>روژان</v>
      </c>
      <c r="J9" s="336" t="s">
        <v>545</v>
      </c>
      <c r="K9" s="334">
        <f>payesh!I22</f>
        <v>15</v>
      </c>
      <c r="L9" s="334" t="str">
        <f>SHG!P8</f>
        <v>ندا فلاح</v>
      </c>
      <c r="M9" s="334" t="str">
        <f>SHG!Q8</f>
        <v>نگار فلاح</v>
      </c>
      <c r="N9" s="334" t="str">
        <f>SHG!R8</f>
        <v>روژين حيدري</v>
      </c>
      <c r="O9" s="335">
        <f>SHG!N8</f>
        <v>750099196</v>
      </c>
      <c r="P9" s="334">
        <f>payesh!I62</f>
        <v>2800000</v>
      </c>
      <c r="Q9" s="337">
        <f>payesh!I82</f>
        <v>200000000</v>
      </c>
    </row>
    <row r="10" spans="1:17" ht="18.75" thickBot="1" x14ac:dyDescent="0.45">
      <c r="D10" s="339">
        <f>SHG!B9</f>
        <v>6</v>
      </c>
      <c r="E10" s="341" t="str">
        <f>SHG!C9</f>
        <v>کردستان</v>
      </c>
      <c r="F10" s="342" t="str">
        <f>SHG!D9</f>
        <v>سنندج</v>
      </c>
      <c r="G10" s="342" t="str">
        <f>SHG!E9</f>
        <v>گندمان</v>
      </c>
      <c r="H10" s="343" t="str">
        <f>payesh!J15</f>
        <v>1394/04/31</v>
      </c>
      <c r="I10" s="342" t="str">
        <f>SHG!F9</f>
        <v>شقايق</v>
      </c>
      <c r="J10" s="344" t="s">
        <v>545</v>
      </c>
      <c r="K10" s="342">
        <f>payesh!J22</f>
        <v>16</v>
      </c>
      <c r="L10" s="342" t="str">
        <f>SHG!P9</f>
        <v>مهتاب گويلي</v>
      </c>
      <c r="M10" s="342" t="str">
        <f>SHG!Q9</f>
        <v>سروه حيدري</v>
      </c>
      <c r="N10" s="342" t="str">
        <f>SHG!R9</f>
        <v>پريسا گويلي</v>
      </c>
      <c r="O10" s="343" t="str">
        <f>SHG!N9</f>
        <v>74948494-4</v>
      </c>
      <c r="P10" s="342">
        <f>payesh!J62</f>
        <v>3500000</v>
      </c>
      <c r="Q10" s="345">
        <f>payesh!J82</f>
        <v>185000000</v>
      </c>
    </row>
    <row r="11" spans="1:17" ht="18.75" thickBot="1" x14ac:dyDescent="0.45">
      <c r="D11" s="346">
        <f>SHG!B10</f>
        <v>7</v>
      </c>
      <c r="E11" s="340" t="str">
        <f>SHG!C10</f>
        <v>کردستان</v>
      </c>
      <c r="F11" s="334" t="str">
        <f>SHG!D10</f>
        <v>سنندج</v>
      </c>
      <c r="G11" s="334" t="str">
        <f>SHG!E10</f>
        <v>نوره</v>
      </c>
      <c r="H11" s="335" t="str">
        <f>payesh!K15</f>
        <v>1394/04/23</v>
      </c>
      <c r="I11" s="334" t="str">
        <f>SHG!F10</f>
        <v>آگرين</v>
      </c>
      <c r="J11" s="336" t="s">
        <v>545</v>
      </c>
      <c r="K11" s="334">
        <f>payesh!K22</f>
        <v>17</v>
      </c>
      <c r="L11" s="334" t="str">
        <f>SHG!P10</f>
        <v>ريزان احمدي</v>
      </c>
      <c r="M11" s="334" t="str">
        <f>SHG!Q10</f>
        <v>شهلا صراحي</v>
      </c>
      <c r="N11" s="334" t="str">
        <f>SHG!R10</f>
        <v>كلثومه مجيدي</v>
      </c>
      <c r="O11" s="335">
        <f>SHG!N10</f>
        <v>755556128</v>
      </c>
      <c r="P11" s="334">
        <f>payesh!K62</f>
        <v>3460000</v>
      </c>
      <c r="Q11" s="337">
        <f>payesh!K82</f>
        <v>240000000</v>
      </c>
    </row>
    <row r="12" spans="1:17" ht="18.75" thickBot="1" x14ac:dyDescent="0.45">
      <c r="D12" s="339">
        <f>SHG!B11</f>
        <v>8</v>
      </c>
      <c r="E12" s="341" t="str">
        <f>SHG!C11</f>
        <v>کردستان</v>
      </c>
      <c r="F12" s="342" t="str">
        <f>SHG!D11</f>
        <v>سنندج</v>
      </c>
      <c r="G12" s="342" t="str">
        <f>SHG!E11</f>
        <v>نوره</v>
      </c>
      <c r="H12" s="343" t="str">
        <f>payesh!L15</f>
        <v>1394/04/23</v>
      </c>
      <c r="I12" s="342" t="str">
        <f>SHG!F11</f>
        <v>هاوين</v>
      </c>
      <c r="J12" s="344" t="s">
        <v>545</v>
      </c>
      <c r="K12" s="342">
        <f>payesh!L22</f>
        <v>17</v>
      </c>
      <c r="L12" s="342" t="str">
        <f>SHG!P11</f>
        <v>فاطمه حبيبي</v>
      </c>
      <c r="M12" s="342" t="str">
        <f>SHG!Q11</f>
        <v>سيران محمدي</v>
      </c>
      <c r="N12" s="342" t="str">
        <f>SHG!R11</f>
        <v>پرستو احمدي</v>
      </c>
      <c r="O12" s="343">
        <f>SHG!N11</f>
        <v>755553150</v>
      </c>
      <c r="P12" s="342">
        <f>payesh!L62</f>
        <v>3100000</v>
      </c>
      <c r="Q12" s="345">
        <f>payesh!L82</f>
        <v>240000000</v>
      </c>
    </row>
    <row r="13" spans="1:17" ht="18.75" thickBot="1" x14ac:dyDescent="0.45">
      <c r="D13" s="346">
        <f>SHG!B12</f>
        <v>9</v>
      </c>
      <c r="E13" s="340" t="str">
        <f>SHG!C12</f>
        <v>کردستان</v>
      </c>
      <c r="F13" s="334" t="str">
        <f>SHG!D12</f>
        <v>سنندج</v>
      </c>
      <c r="G13" s="334" t="str">
        <f>SHG!E12</f>
        <v>دادانه</v>
      </c>
      <c r="H13" s="335" t="str">
        <f>payesh!M15</f>
        <v>1394/05/21</v>
      </c>
      <c r="I13" s="334" t="str">
        <f>SHG!F12</f>
        <v>تريفه</v>
      </c>
      <c r="J13" s="336" t="s">
        <v>545</v>
      </c>
      <c r="K13" s="334">
        <f>payesh!M22</f>
        <v>17</v>
      </c>
      <c r="L13" s="334" t="str">
        <f>SHG!P12</f>
        <v>آمنه زماني</v>
      </c>
      <c r="M13" s="334" t="str">
        <f>SHG!Q12</f>
        <v>پرستو زماني</v>
      </c>
      <c r="N13" s="334" t="str">
        <f>SHG!R12</f>
        <v>فروزان زماني</v>
      </c>
      <c r="O13" s="335">
        <f>SHG!N12</f>
        <v>756748570</v>
      </c>
      <c r="P13" s="334">
        <f>payesh!M62</f>
        <v>3100000</v>
      </c>
      <c r="Q13" s="337">
        <f>payesh!M82</f>
        <v>235000000</v>
      </c>
    </row>
    <row r="14" spans="1:17" ht="18.75" thickBot="1" x14ac:dyDescent="0.45">
      <c r="D14" s="339">
        <f>SHG!B13</f>
        <v>10</v>
      </c>
      <c r="E14" s="341" t="str">
        <f>SHG!C13</f>
        <v>کردستان</v>
      </c>
      <c r="F14" s="342" t="str">
        <f>SHG!D13</f>
        <v>سنندج</v>
      </c>
      <c r="G14" s="342" t="str">
        <f>SHG!E13</f>
        <v>آویهنگ</v>
      </c>
      <c r="H14" s="343" t="str">
        <f>payesh!N15</f>
        <v>1395/01/28</v>
      </c>
      <c r="I14" s="342" t="str">
        <f>SHG!F13</f>
        <v>كوچكه سور</v>
      </c>
      <c r="J14" s="344" t="s">
        <v>230</v>
      </c>
      <c r="K14" s="342">
        <f>payesh!N22</f>
        <v>18</v>
      </c>
      <c r="L14" s="342" t="str">
        <f>SHG!P13</f>
        <v>سهيلا بهمني</v>
      </c>
      <c r="M14" s="342" t="str">
        <f>SHG!Q13</f>
        <v>فريبا قاسمي</v>
      </c>
      <c r="N14" s="342" t="str">
        <f>SHG!R13</f>
        <v>سميه الماسي</v>
      </c>
      <c r="O14" s="343">
        <f>SHG!N13</f>
        <v>784872173</v>
      </c>
      <c r="P14" s="342">
        <f>payesh!N62</f>
        <v>3610000</v>
      </c>
      <c r="Q14" s="345">
        <f>payesh!N82</f>
        <v>0</v>
      </c>
    </row>
    <row r="15" spans="1:17" ht="18.75" thickBot="1" x14ac:dyDescent="0.45">
      <c r="D15" s="346">
        <f>SHG!B14</f>
        <v>11</v>
      </c>
      <c r="E15" s="340" t="str">
        <f>SHG!C14</f>
        <v>کردستان</v>
      </c>
      <c r="F15" s="334" t="str">
        <f>SHG!D14</f>
        <v>سنندج</v>
      </c>
      <c r="G15" s="334" t="str">
        <f>SHG!E14</f>
        <v>دادانه</v>
      </c>
      <c r="H15" s="335" t="str">
        <f>payesh!O15</f>
        <v>1395/02/26</v>
      </c>
      <c r="I15" s="334" t="str">
        <f>SHG!F14</f>
        <v>كاني ده</v>
      </c>
      <c r="J15" s="336" t="s">
        <v>230</v>
      </c>
      <c r="K15" s="334">
        <f>payesh!O22</f>
        <v>18</v>
      </c>
      <c r="L15" s="334" t="str">
        <f>SHG!P14</f>
        <v>نرگس زماني</v>
      </c>
      <c r="M15" s="334" t="str">
        <f>SHG!Q14</f>
        <v>ناديا زماني</v>
      </c>
      <c r="N15" s="334" t="str">
        <f>SHG!R14</f>
        <v>زيبا زماني</v>
      </c>
      <c r="O15" s="335">
        <f>SHG!N14</f>
        <v>787399393</v>
      </c>
      <c r="P15" s="334">
        <f>payesh!O62</f>
        <v>2700000</v>
      </c>
      <c r="Q15" s="337">
        <f>payesh!O82</f>
        <v>0</v>
      </c>
    </row>
    <row r="16" spans="1:17" ht="18.75" thickBot="1" x14ac:dyDescent="0.45">
      <c r="D16" s="339">
        <f>SHG!B15</f>
        <v>12</v>
      </c>
      <c r="E16" s="341" t="str">
        <f>SHG!C15</f>
        <v>کردستان</v>
      </c>
      <c r="F16" s="342" t="str">
        <f>SHG!D15</f>
        <v>سنندج</v>
      </c>
      <c r="G16" s="342" t="str">
        <f>SHG!E15</f>
        <v>دادانه</v>
      </c>
      <c r="H16" s="343" t="str">
        <f>payesh!P15</f>
        <v>1395/03/31</v>
      </c>
      <c r="I16" s="342" t="str">
        <f>SHG!F15</f>
        <v>ئاويه‌ر</v>
      </c>
      <c r="J16" s="344" t="s">
        <v>230</v>
      </c>
      <c r="K16" s="342">
        <f>payesh!P22</f>
        <v>12</v>
      </c>
      <c r="L16" s="342" t="str">
        <f>SHG!P15</f>
        <v>فهيمه زماني</v>
      </c>
      <c r="M16" s="342" t="str">
        <f>SHG!Q15</f>
        <v>فرخنده زماني</v>
      </c>
      <c r="N16" s="342" t="str">
        <f>SHG!R15</f>
        <v>گلچهره زماني</v>
      </c>
      <c r="O16" s="343">
        <f>SHG!N15</f>
        <v>790676306</v>
      </c>
      <c r="P16" s="342">
        <f>payesh!P62</f>
        <v>1800000</v>
      </c>
      <c r="Q16" s="345">
        <f>payesh!P82</f>
        <v>0</v>
      </c>
    </row>
    <row r="17" spans="4:17" ht="18.75" thickBot="1" x14ac:dyDescent="0.45">
      <c r="D17" s="346">
        <f>SHG!B16</f>
        <v>13</v>
      </c>
      <c r="E17" s="340" t="str">
        <f>SHG!C16</f>
        <v>کردستان</v>
      </c>
      <c r="F17" s="334" t="str">
        <f>SHG!D16</f>
        <v>سنندج</v>
      </c>
      <c r="G17" s="334" t="str">
        <f>SHG!E16</f>
        <v>نوره</v>
      </c>
      <c r="H17" s="335" t="str">
        <f>payesh!Q15</f>
        <v>1395/05/04</v>
      </c>
      <c r="I17" s="334" t="str">
        <f>SHG!F16</f>
        <v>سدنا</v>
      </c>
      <c r="J17" s="336" t="s">
        <v>230</v>
      </c>
      <c r="K17" s="334">
        <f>payesh!Q22</f>
        <v>13</v>
      </c>
      <c r="L17" s="334" t="str">
        <f>SHG!P16</f>
        <v>سرگل عبدالهي</v>
      </c>
      <c r="M17" s="334" t="str">
        <f>SHG!Q16</f>
        <v>هايده محمدي</v>
      </c>
      <c r="N17" s="334" t="str">
        <f>SHG!R16</f>
        <v>مرواريد زماني</v>
      </c>
      <c r="O17" s="335">
        <f>SHG!N16</f>
        <v>0</v>
      </c>
      <c r="P17" s="334">
        <f>payesh!Q62</f>
        <v>1950000</v>
      </c>
      <c r="Q17" s="337">
        <f>payesh!Q82</f>
        <v>0</v>
      </c>
    </row>
    <row r="18" spans="4:17" ht="18.75" thickBot="1" x14ac:dyDescent="0.45">
      <c r="D18" s="339">
        <f>SHG!B17</f>
        <v>14</v>
      </c>
      <c r="E18" s="341" t="str">
        <f>SHG!C17</f>
        <v>کردستان</v>
      </c>
      <c r="F18" s="342" t="str">
        <f>SHG!D17</f>
        <v>سنندج</v>
      </c>
      <c r="G18" s="342" t="str">
        <f>SHG!E17</f>
        <v>چنو</v>
      </c>
      <c r="H18" s="343">
        <f>payesh!R15</f>
        <v>0</v>
      </c>
      <c r="I18" s="342" t="str">
        <f>SHG!F17</f>
        <v>هورام</v>
      </c>
      <c r="J18" s="344" t="s">
        <v>545</v>
      </c>
      <c r="K18" s="342">
        <f>payesh!R22</f>
        <v>16</v>
      </c>
      <c r="L18" s="342" t="str">
        <f>SHG!P17</f>
        <v>حیران محمدی</v>
      </c>
      <c r="M18" s="342" t="str">
        <f>SHG!Q17</f>
        <v>ثریا برزنجه</v>
      </c>
      <c r="N18" s="342" t="str">
        <f>SHG!R17</f>
        <v>کتان وفایی</v>
      </c>
      <c r="O18" s="343">
        <f>SHG!N17</f>
        <v>751020192</v>
      </c>
      <c r="P18" s="342">
        <f>payesh!R62</f>
        <v>0</v>
      </c>
      <c r="Q18" s="345">
        <f>payesh!R82</f>
        <v>210000000</v>
      </c>
    </row>
    <row r="19" spans="4:17" ht="18.75" thickBot="1" x14ac:dyDescent="0.45">
      <c r="D19" s="346">
        <f>SHG!B18</f>
        <v>15</v>
      </c>
      <c r="E19" s="340">
        <f>SHG!C18</f>
        <v>0</v>
      </c>
      <c r="F19" s="334">
        <f>SHG!D18</f>
        <v>0</v>
      </c>
      <c r="G19" s="334">
        <f>SHG!E18</f>
        <v>0</v>
      </c>
      <c r="H19" s="335">
        <f>payesh!S15</f>
        <v>0</v>
      </c>
      <c r="I19" s="334">
        <f>SHG!F18</f>
        <v>0</v>
      </c>
      <c r="J19" s="336"/>
      <c r="K19" s="334">
        <f>payesh!S22</f>
        <v>0</v>
      </c>
      <c r="L19" s="334">
        <f>SHG!P18</f>
        <v>0</v>
      </c>
      <c r="M19" s="334">
        <f>SHG!Q18</f>
        <v>0</v>
      </c>
      <c r="N19" s="334">
        <f>SHG!R18</f>
        <v>0</v>
      </c>
      <c r="O19" s="335">
        <f>SHG!N18</f>
        <v>0</v>
      </c>
      <c r="P19" s="334">
        <f>payesh!S62</f>
        <v>0</v>
      </c>
      <c r="Q19" s="337">
        <f>payesh!S82</f>
        <v>0</v>
      </c>
    </row>
    <row r="20" spans="4:17" ht="18.75" thickBot="1" x14ac:dyDescent="0.45">
      <c r="D20" s="339">
        <f>SHG!B19</f>
        <v>16</v>
      </c>
      <c r="E20" s="341">
        <f>SHG!C19</f>
        <v>0</v>
      </c>
      <c r="F20" s="342">
        <f>SHG!D19</f>
        <v>0</v>
      </c>
      <c r="G20" s="342">
        <f>SHG!E19</f>
        <v>0</v>
      </c>
      <c r="H20" s="343">
        <f>payesh!T15</f>
        <v>0</v>
      </c>
      <c r="I20" s="342">
        <f>SHG!F19</f>
        <v>0</v>
      </c>
      <c r="J20" s="344"/>
      <c r="K20" s="342">
        <f>payesh!T22</f>
        <v>0</v>
      </c>
      <c r="L20" s="342">
        <f>SHG!P19</f>
        <v>0</v>
      </c>
      <c r="M20" s="342">
        <f>SHG!Q19</f>
        <v>0</v>
      </c>
      <c r="N20" s="342">
        <f>SHG!R19</f>
        <v>0</v>
      </c>
      <c r="O20" s="343">
        <f>SHG!N19</f>
        <v>0</v>
      </c>
      <c r="P20" s="342">
        <f>payesh!T62</f>
        <v>0</v>
      </c>
      <c r="Q20" s="345">
        <f>payesh!T82</f>
        <v>0</v>
      </c>
    </row>
    <row r="21" spans="4:17" ht="18.75" thickBot="1" x14ac:dyDescent="0.45">
      <c r="D21" s="346">
        <f>SHG!B20</f>
        <v>17</v>
      </c>
      <c r="E21" s="340">
        <f>SHG!C20</f>
        <v>0</v>
      </c>
      <c r="F21" s="334">
        <f>SHG!D20</f>
        <v>0</v>
      </c>
      <c r="G21" s="334">
        <f>SHG!E20</f>
        <v>0</v>
      </c>
      <c r="H21" s="335">
        <f>payesh!U15</f>
        <v>0</v>
      </c>
      <c r="I21" s="334">
        <f>SHG!F20</f>
        <v>0</v>
      </c>
      <c r="J21" s="336"/>
      <c r="K21" s="334">
        <f>payesh!U22</f>
        <v>0</v>
      </c>
      <c r="L21" s="334">
        <f>SHG!P20</f>
        <v>0</v>
      </c>
      <c r="M21" s="334">
        <f>SHG!Q20</f>
        <v>0</v>
      </c>
      <c r="N21" s="334">
        <f>SHG!R20</f>
        <v>0</v>
      </c>
      <c r="O21" s="335">
        <f>SHG!N20</f>
        <v>0</v>
      </c>
      <c r="P21" s="334">
        <f>payesh!U62</f>
        <v>0</v>
      </c>
      <c r="Q21" s="337">
        <f>payesh!U82</f>
        <v>0</v>
      </c>
    </row>
    <row r="22" spans="4:17" ht="18.75" thickBot="1" x14ac:dyDescent="0.45">
      <c r="D22" s="339">
        <f>SHG!B21</f>
        <v>18</v>
      </c>
      <c r="E22" s="341">
        <f>SHG!C21</f>
        <v>0</v>
      </c>
      <c r="F22" s="342">
        <f>SHG!D21</f>
        <v>0</v>
      </c>
      <c r="G22" s="342">
        <f>SHG!E21</f>
        <v>0</v>
      </c>
      <c r="H22" s="343">
        <f>payesh!V15</f>
        <v>0</v>
      </c>
      <c r="I22" s="342">
        <f>SHG!F21</f>
        <v>0</v>
      </c>
      <c r="J22" s="344"/>
      <c r="K22" s="342">
        <f>payesh!V22</f>
        <v>0</v>
      </c>
      <c r="L22" s="342">
        <f>SHG!P21</f>
        <v>0</v>
      </c>
      <c r="M22" s="342">
        <f>SHG!Q21</f>
        <v>0</v>
      </c>
      <c r="N22" s="342">
        <f>SHG!R21</f>
        <v>0</v>
      </c>
      <c r="O22" s="343">
        <f>SHG!N21</f>
        <v>0</v>
      </c>
      <c r="P22" s="342">
        <f>payesh!V62</f>
        <v>0</v>
      </c>
      <c r="Q22" s="345">
        <f>payesh!V82</f>
        <v>0</v>
      </c>
    </row>
    <row r="23" spans="4:17" ht="18.75" thickBot="1" x14ac:dyDescent="0.45">
      <c r="D23" s="346">
        <f>SHG!B22</f>
        <v>19</v>
      </c>
      <c r="E23" s="340">
        <f>SHG!C22</f>
        <v>0</v>
      </c>
      <c r="F23" s="334">
        <f>SHG!D22</f>
        <v>0</v>
      </c>
      <c r="G23" s="334">
        <f>SHG!E22</f>
        <v>0</v>
      </c>
      <c r="H23" s="335">
        <f>payesh!W15</f>
        <v>0</v>
      </c>
      <c r="I23" s="334">
        <f>SHG!F22</f>
        <v>0</v>
      </c>
      <c r="J23" s="336"/>
      <c r="K23" s="334">
        <f>payesh!W22</f>
        <v>0</v>
      </c>
      <c r="L23" s="334">
        <f>SHG!P22</f>
        <v>0</v>
      </c>
      <c r="M23" s="334">
        <f>SHG!Q22</f>
        <v>0</v>
      </c>
      <c r="N23" s="334">
        <f>SHG!R22</f>
        <v>0</v>
      </c>
      <c r="O23" s="335">
        <f>SHG!N22</f>
        <v>0</v>
      </c>
      <c r="P23" s="334">
        <f>payesh!W62</f>
        <v>0</v>
      </c>
      <c r="Q23" s="337">
        <f>payesh!W82</f>
        <v>0</v>
      </c>
    </row>
    <row r="24" spans="4:17" ht="18.75" thickBot="1" x14ac:dyDescent="0.45">
      <c r="D24" s="339">
        <f>SHG!B23</f>
        <v>20</v>
      </c>
      <c r="E24" s="341">
        <f>SHG!C23</f>
        <v>0</v>
      </c>
      <c r="F24" s="342">
        <f>SHG!D23</f>
        <v>0</v>
      </c>
      <c r="G24" s="342">
        <f>SHG!E23</f>
        <v>0</v>
      </c>
      <c r="H24" s="343">
        <f>payesh!X15</f>
        <v>0</v>
      </c>
      <c r="I24" s="342">
        <f>SHG!F23</f>
        <v>0</v>
      </c>
      <c r="J24" s="344"/>
      <c r="K24" s="342">
        <f>payesh!X22</f>
        <v>0</v>
      </c>
      <c r="L24" s="342">
        <f>SHG!P23</f>
        <v>0</v>
      </c>
      <c r="M24" s="342">
        <f>SHG!Q23</f>
        <v>0</v>
      </c>
      <c r="N24" s="342">
        <f>SHG!R23</f>
        <v>0</v>
      </c>
      <c r="O24" s="343">
        <f>SHG!N23</f>
        <v>0</v>
      </c>
      <c r="P24" s="342">
        <f>payesh!X62</f>
        <v>0</v>
      </c>
      <c r="Q24" s="345">
        <f>payesh!X82</f>
        <v>0</v>
      </c>
    </row>
  </sheetData>
  <sheetProtection algorithmName="SHA-512" hashValue="qGhlRHuCkzDFoCeodtPS6eLJvEjcQFizDsaI/tR8STNwhcla24/i9B9PMFnJkFyZsi0UFP4rHhLUdbr4JZ7dnA==" saltValue="yk42BexYt660x83YJ4uwsQ==" spinCount="100000" sheet="1" objects="1" scenarios="1"/>
  <conditionalFormatting sqref="P5:P24">
    <cfRule type="dataBar" priority="11">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24">
    <cfRule type="dataBar" priority="12">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24">
    <cfRule type="dataBar" priority="13">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2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P5:P24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Q5:Q24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T20"/>
  <sheetViews>
    <sheetView rightToLeft="1" workbookViewId="0">
      <selection activeCell="AW10" sqref="AW10"/>
    </sheetView>
  </sheetViews>
  <sheetFormatPr defaultRowHeight="17.25" x14ac:dyDescent="0.25"/>
  <cols>
    <col min="1" max="3" width="9.140625" style="73"/>
    <col min="4" max="4" width="17" style="73" customWidth="1"/>
    <col min="5" max="5" width="22.140625" style="73" customWidth="1"/>
    <col min="6" max="11" width="9.140625" style="73"/>
    <col min="12" max="12" width="9.85546875" style="73" bestFit="1" customWidth="1"/>
    <col min="13" max="17" width="9.140625" style="73"/>
    <col min="18" max="18" width="10.85546875" style="73" customWidth="1"/>
    <col min="19" max="19" width="9.140625" style="73"/>
    <col min="20" max="21" width="11.140625" style="73" customWidth="1"/>
    <col min="22" max="22" width="11.42578125" style="73" bestFit="1" customWidth="1"/>
    <col min="23" max="23" width="9.140625" style="73"/>
    <col min="24" max="25" width="9.5703125" style="73" bestFit="1" customWidth="1"/>
    <col min="26" max="26" width="11" style="73" customWidth="1"/>
    <col min="27" max="27" width="4.140625" style="73" customWidth="1"/>
    <col min="28" max="46" width="4" style="73" customWidth="1"/>
    <col min="47" max="16384" width="9.140625" style="73"/>
  </cols>
  <sheetData>
    <row r="1" spans="3:46" ht="18" thickBot="1" x14ac:dyDescent="0.3"/>
    <row r="2" spans="3:46" ht="18.75" thickBot="1" x14ac:dyDescent="0.3">
      <c r="C2" s="610" t="s">
        <v>71</v>
      </c>
      <c r="D2" s="611"/>
      <c r="E2" s="611"/>
      <c r="F2" s="611"/>
      <c r="G2" s="611"/>
      <c r="H2" s="611"/>
      <c r="I2" s="611"/>
      <c r="J2" s="611"/>
      <c r="K2" s="611"/>
      <c r="L2" s="611"/>
      <c r="M2" s="612"/>
      <c r="N2" s="612"/>
      <c r="O2" s="612"/>
      <c r="P2" s="612"/>
      <c r="Q2" s="612"/>
      <c r="R2" s="612"/>
      <c r="S2" s="611"/>
      <c r="T2" s="611"/>
      <c r="U2" s="611"/>
      <c r="V2" s="611"/>
      <c r="W2" s="612"/>
      <c r="X2" s="612"/>
      <c r="Y2" s="612"/>
      <c r="Z2" s="613"/>
      <c r="AA2" s="225">
        <f>payesh!E7</f>
        <v>1</v>
      </c>
      <c r="AB2" s="226">
        <f>payesh!F7</f>
        <v>2</v>
      </c>
      <c r="AC2" s="226">
        <f>payesh!G7</f>
        <v>3</v>
      </c>
      <c r="AD2" s="226">
        <f>payesh!H7</f>
        <v>4</v>
      </c>
      <c r="AE2" s="226">
        <f>payesh!I7</f>
        <v>5</v>
      </c>
      <c r="AF2" s="226">
        <f>payesh!J7</f>
        <v>6</v>
      </c>
      <c r="AG2" s="226">
        <f>payesh!K7</f>
        <v>7</v>
      </c>
      <c r="AH2" s="226">
        <f>payesh!L7</f>
        <v>8</v>
      </c>
      <c r="AI2" s="226">
        <f>payesh!M7</f>
        <v>9</v>
      </c>
      <c r="AJ2" s="226">
        <f>payesh!N7</f>
        <v>10</v>
      </c>
      <c r="AK2" s="226">
        <f>payesh!O7</f>
        <v>11</v>
      </c>
      <c r="AL2" s="226">
        <f>payesh!P7</f>
        <v>12</v>
      </c>
      <c r="AM2" s="226">
        <f>payesh!Q7</f>
        <v>13</v>
      </c>
      <c r="AN2" s="226">
        <f>payesh!R7</f>
        <v>14</v>
      </c>
      <c r="AO2" s="226">
        <f>payesh!S7</f>
        <v>15</v>
      </c>
      <c r="AP2" s="226">
        <f>payesh!T7</f>
        <v>16</v>
      </c>
      <c r="AQ2" s="226">
        <f>payesh!U7</f>
        <v>17</v>
      </c>
      <c r="AR2" s="226">
        <f>payesh!V7</f>
        <v>18</v>
      </c>
      <c r="AS2" s="226">
        <f>payesh!W7</f>
        <v>19</v>
      </c>
      <c r="AT2" s="226">
        <f>payesh!X7</f>
        <v>20</v>
      </c>
    </row>
    <row r="3" spans="3:46" ht="18.75" customHeight="1" x14ac:dyDescent="0.25">
      <c r="C3" s="614" t="s">
        <v>256</v>
      </c>
      <c r="D3" s="615"/>
      <c r="E3" s="615"/>
      <c r="F3" s="615"/>
      <c r="G3" s="615"/>
      <c r="H3" s="615"/>
      <c r="I3" s="615"/>
      <c r="J3" s="615"/>
      <c r="K3" s="615"/>
      <c r="L3" s="616"/>
      <c r="M3" s="623" t="s">
        <v>278</v>
      </c>
      <c r="N3" s="624"/>
      <c r="O3" s="624"/>
      <c r="P3" s="624"/>
      <c r="Q3" s="624"/>
      <c r="R3" s="625"/>
      <c r="S3" s="615" t="str">
        <f>C3</f>
        <v>شهرستان:</v>
      </c>
      <c r="T3" s="615"/>
      <c r="U3" s="615"/>
      <c r="V3" s="615"/>
      <c r="W3" s="604" t="s">
        <v>281</v>
      </c>
      <c r="X3" s="605"/>
      <c r="Y3" s="605"/>
      <c r="Z3" s="606"/>
      <c r="AA3" s="229" t="str">
        <f>payesh!E5</f>
        <v>دادانه</v>
      </c>
      <c r="AB3" s="184" t="str">
        <f>payesh!F5</f>
        <v>دادانه</v>
      </c>
      <c r="AC3" s="184" t="str">
        <f>payesh!G5</f>
        <v>دادانه</v>
      </c>
      <c r="AD3" s="184" t="str">
        <f>payesh!H5</f>
        <v>زندان</v>
      </c>
      <c r="AE3" s="184" t="str">
        <f>payesh!I5</f>
        <v>گندمان</v>
      </c>
      <c r="AF3" s="184" t="str">
        <f>payesh!J5</f>
        <v>گندمان</v>
      </c>
      <c r="AG3" s="184" t="str">
        <f>payesh!K5</f>
        <v>نوره</v>
      </c>
      <c r="AH3" s="184" t="str">
        <f>payesh!L5</f>
        <v>نوره</v>
      </c>
      <c r="AI3" s="184" t="str">
        <f>payesh!M5</f>
        <v>دادانه</v>
      </c>
      <c r="AJ3" s="184" t="str">
        <f>payesh!N5</f>
        <v>آویهنگ</v>
      </c>
      <c r="AK3" s="184" t="str">
        <f>payesh!O5</f>
        <v>دادانه</v>
      </c>
      <c r="AL3" s="184" t="str">
        <f>payesh!P5</f>
        <v>دادانه</v>
      </c>
      <c r="AM3" s="184" t="str">
        <f>payesh!Q5</f>
        <v>نوره</v>
      </c>
      <c r="AN3" s="184" t="str">
        <f>payesh!R5</f>
        <v>چنو</v>
      </c>
      <c r="AO3" s="184">
        <f>payesh!S5</f>
        <v>0</v>
      </c>
      <c r="AP3" s="184">
        <f>payesh!T5</f>
        <v>0</v>
      </c>
      <c r="AQ3" s="184">
        <f>payesh!U5</f>
        <v>0</v>
      </c>
      <c r="AR3" s="184">
        <f>payesh!V5</f>
        <v>0</v>
      </c>
      <c r="AS3" s="184">
        <f>payesh!W5</f>
        <v>0</v>
      </c>
      <c r="AT3" s="184">
        <f>payesh!X5</f>
        <v>0</v>
      </c>
    </row>
    <row r="4" spans="3:46" ht="37.5" thickBot="1" x14ac:dyDescent="0.3">
      <c r="C4" s="617" t="str">
        <f>payesh!E4</f>
        <v>سنندج</v>
      </c>
      <c r="D4" s="618"/>
      <c r="E4" s="618"/>
      <c r="F4" s="618"/>
      <c r="G4" s="618"/>
      <c r="H4" s="618"/>
      <c r="I4" s="618"/>
      <c r="J4" s="618"/>
      <c r="K4" s="618"/>
      <c r="L4" s="619"/>
      <c r="M4" s="626"/>
      <c r="N4" s="627"/>
      <c r="O4" s="627"/>
      <c r="P4" s="627"/>
      <c r="Q4" s="627"/>
      <c r="R4" s="628"/>
      <c r="S4" s="618" t="str">
        <f>C4</f>
        <v>سنندج</v>
      </c>
      <c r="T4" s="618"/>
      <c r="U4" s="618"/>
      <c r="V4" s="618"/>
      <c r="W4" s="607"/>
      <c r="X4" s="608"/>
      <c r="Y4" s="608"/>
      <c r="Z4" s="609"/>
      <c r="AA4" s="230" t="str">
        <f>payesh!E6</f>
        <v>كاني بل</v>
      </c>
      <c r="AB4" s="185" t="str">
        <f>payesh!F6</f>
        <v>ئالا</v>
      </c>
      <c r="AC4" s="185" t="str">
        <f>payesh!G6</f>
        <v>باران</v>
      </c>
      <c r="AD4" s="185" t="str">
        <f>payesh!H6</f>
        <v>سربرزي</v>
      </c>
      <c r="AE4" s="185" t="str">
        <f>payesh!I6</f>
        <v>روژان</v>
      </c>
      <c r="AF4" s="185" t="str">
        <f>payesh!J6</f>
        <v>شقايق</v>
      </c>
      <c r="AG4" s="185" t="str">
        <f>payesh!K6</f>
        <v>آگرين</v>
      </c>
      <c r="AH4" s="185" t="str">
        <f>payesh!L6</f>
        <v>هاوين</v>
      </c>
      <c r="AI4" s="185" t="str">
        <f>payesh!M6</f>
        <v>تريفه</v>
      </c>
      <c r="AJ4" s="185" t="str">
        <f>payesh!N6</f>
        <v>كوچكه سور</v>
      </c>
      <c r="AK4" s="185" t="str">
        <f>payesh!O6</f>
        <v>كاني ده</v>
      </c>
      <c r="AL4" s="185" t="str">
        <f>payesh!P6</f>
        <v>ئاويه‌ر</v>
      </c>
      <c r="AM4" s="185" t="str">
        <f>payesh!Q6</f>
        <v>سدنا</v>
      </c>
      <c r="AN4" s="185" t="str">
        <f>payesh!R6</f>
        <v>هورام</v>
      </c>
      <c r="AO4" s="185">
        <f>payesh!S6</f>
        <v>0</v>
      </c>
      <c r="AP4" s="185">
        <f>payesh!T6</f>
        <v>0</v>
      </c>
      <c r="AQ4" s="185">
        <f>payesh!U6</f>
        <v>0</v>
      </c>
      <c r="AR4" s="185">
        <f>payesh!V6</f>
        <v>0</v>
      </c>
      <c r="AS4" s="185">
        <f>payesh!W6</f>
        <v>0</v>
      </c>
      <c r="AT4" s="185">
        <f>payesh!X6</f>
        <v>0</v>
      </c>
    </row>
    <row r="5" spans="3:46" ht="79.5" thickBot="1" x14ac:dyDescent="0.3">
      <c r="C5" s="160" t="s">
        <v>257</v>
      </c>
      <c r="D5" s="161" t="s">
        <v>258</v>
      </c>
      <c r="E5" s="161" t="s">
        <v>259</v>
      </c>
      <c r="F5" s="200" t="s">
        <v>282</v>
      </c>
      <c r="G5" s="199" t="s">
        <v>260</v>
      </c>
      <c r="H5" s="162" t="s">
        <v>261</v>
      </c>
      <c r="I5" s="162" t="s">
        <v>262</v>
      </c>
      <c r="J5" s="162" t="s">
        <v>263</v>
      </c>
      <c r="K5" s="162" t="s">
        <v>264</v>
      </c>
      <c r="L5" s="175" t="s">
        <v>265</v>
      </c>
      <c r="M5" s="180" t="s">
        <v>90</v>
      </c>
      <c r="N5" s="181" t="s">
        <v>261</v>
      </c>
      <c r="O5" s="181" t="s">
        <v>262</v>
      </c>
      <c r="P5" s="181" t="s">
        <v>263</v>
      </c>
      <c r="Q5" s="181" t="s">
        <v>264</v>
      </c>
      <c r="R5" s="182" t="s">
        <v>265</v>
      </c>
      <c r="S5" s="177" t="s">
        <v>260</v>
      </c>
      <c r="T5" s="171" t="s">
        <v>279</v>
      </c>
      <c r="U5" s="171" t="s">
        <v>280</v>
      </c>
      <c r="V5" s="172" t="s">
        <v>265</v>
      </c>
      <c r="W5" s="213" t="s">
        <v>90</v>
      </c>
      <c r="X5" s="214" t="s">
        <v>279</v>
      </c>
      <c r="Y5" s="214" t="s">
        <v>280</v>
      </c>
      <c r="Z5" s="224" t="s">
        <v>265</v>
      </c>
      <c r="AA5" s="231" t="str">
        <f>payesh!E18</f>
        <v>پ 9</v>
      </c>
      <c r="AB5" s="232" t="str">
        <f>payesh!F18</f>
        <v>ت 2</v>
      </c>
      <c r="AC5" s="232" t="str">
        <f>payesh!G18</f>
        <v>ت 2</v>
      </c>
      <c r="AD5" s="232" t="str">
        <f>payesh!H18</f>
        <v>پ 9</v>
      </c>
      <c r="AE5" s="232" t="str">
        <f>payesh!I18</f>
        <v>پ 11</v>
      </c>
      <c r="AF5" s="232" t="str">
        <f>payesh!J18</f>
        <v>پ11</v>
      </c>
      <c r="AG5" s="232" t="str">
        <f>payesh!K18</f>
        <v>ت 2</v>
      </c>
      <c r="AH5" s="232" t="str">
        <f>payesh!L18</f>
        <v>ت 2</v>
      </c>
      <c r="AI5" s="232" t="str">
        <f>payesh!M18</f>
        <v>ت 2</v>
      </c>
      <c r="AJ5" s="232" t="str">
        <f>payesh!N18</f>
        <v>پ 5</v>
      </c>
      <c r="AK5" s="232" t="str">
        <f>payesh!O18</f>
        <v>ب 7</v>
      </c>
      <c r="AL5" s="232" t="str">
        <f>payesh!P18</f>
        <v>پ 5</v>
      </c>
      <c r="AM5" s="232" t="str">
        <f>payesh!Q18</f>
        <v>پ5</v>
      </c>
      <c r="AN5" s="232" t="str">
        <f>payesh!R18</f>
        <v>پ5</v>
      </c>
      <c r="AO5" s="232">
        <f>payesh!S18</f>
        <v>0</v>
      </c>
      <c r="AP5" s="232">
        <f>payesh!T18</f>
        <v>0</v>
      </c>
      <c r="AQ5" s="232">
        <f>payesh!U18</f>
        <v>0</v>
      </c>
      <c r="AR5" s="232">
        <f>payesh!V18</f>
        <v>0</v>
      </c>
      <c r="AS5" s="232">
        <f>payesh!W18</f>
        <v>0</v>
      </c>
      <c r="AT5" s="232">
        <f>payesh!X18</f>
        <v>0</v>
      </c>
    </row>
    <row r="6" spans="3:46" ht="35.25" customHeight="1" x14ac:dyDescent="0.25">
      <c r="C6" s="163">
        <v>1</v>
      </c>
      <c r="D6" s="164" t="s">
        <v>266</v>
      </c>
      <c r="E6" s="164" t="s">
        <v>267</v>
      </c>
      <c r="F6" s="201" t="s">
        <v>284</v>
      </c>
      <c r="G6" s="178">
        <v>0.15</v>
      </c>
      <c r="H6" s="165">
        <f>L6*0.5</f>
        <v>1050000</v>
      </c>
      <c r="I6" s="165">
        <f>L6*0.17857143</f>
        <v>375000.00300000003</v>
      </c>
      <c r="J6" s="165">
        <f>L6*0.17142857</f>
        <v>359999.99700000003</v>
      </c>
      <c r="K6" s="165">
        <f t="shared" ref="K6:K11" si="0">L6*0.15</f>
        <v>315000</v>
      </c>
      <c r="L6" s="183">
        <f>L12*G6</f>
        <v>2100000</v>
      </c>
      <c r="M6" s="204">
        <f t="shared" ref="M6:M11" si="1">SUM(AA6:AT6)</f>
        <v>0</v>
      </c>
      <c r="N6" s="203">
        <f>$M$6*H6</f>
        <v>0</v>
      </c>
      <c r="O6" s="168">
        <f>$M$6*I6</f>
        <v>0</v>
      </c>
      <c r="P6" s="168">
        <f>$M$6*J6</f>
        <v>0</v>
      </c>
      <c r="Q6" s="168">
        <f>$M$6*K6</f>
        <v>0</v>
      </c>
      <c r="R6" s="169">
        <f>SUM(N6:Q6)</f>
        <v>0</v>
      </c>
      <c r="S6" s="207">
        <v>0.15</v>
      </c>
      <c r="T6" s="206">
        <f>(V6/4)*3</f>
        <v>315000</v>
      </c>
      <c r="U6" s="173">
        <f>(V6/4)</f>
        <v>105000</v>
      </c>
      <c r="V6" s="174">
        <f>V12*S6</f>
        <v>420000</v>
      </c>
      <c r="W6" s="204">
        <f t="shared" ref="W6:W11" si="2">SUM(AA6:AT6)</f>
        <v>0</v>
      </c>
      <c r="X6" s="233">
        <f>$W$6*T6</f>
        <v>0</v>
      </c>
      <c r="Y6" s="219">
        <f>$W$6*U6</f>
        <v>0</v>
      </c>
      <c r="Z6" s="221">
        <f>SUM(X6:Y6)</f>
        <v>0</v>
      </c>
      <c r="AA6" s="227">
        <f>IF(payesh!E147=$F$6,1,IF(payesh!E147="کسر شد",-1,0))</f>
        <v>0</v>
      </c>
      <c r="AB6" s="228">
        <f>IF(payesh!F147=$F$6,1,IF(payesh!F147="کسر شد",-1,0))</f>
        <v>0</v>
      </c>
      <c r="AC6" s="228">
        <f>IF(payesh!G147=$F$6,1,IF(payesh!G147="کسر شد",-1,0))</f>
        <v>0</v>
      </c>
      <c r="AD6" s="228">
        <f>IF(payesh!H147=$F$6,1,IF(payesh!H147="کسر شد",-1,0))</f>
        <v>0</v>
      </c>
      <c r="AE6" s="228">
        <f>IF(payesh!I147=$F$6,1,IF(payesh!I147="کسر شد",-1,0))</f>
        <v>0</v>
      </c>
      <c r="AF6" s="228">
        <f>IF(payesh!J147=$F$6,1,IF(payesh!J147="کسر شد",-1,0))</f>
        <v>0</v>
      </c>
      <c r="AG6" s="228">
        <f>IF(payesh!K147=$F$6,1,IF(payesh!K147="کسر شد",-1,0))</f>
        <v>0</v>
      </c>
      <c r="AH6" s="228">
        <f>IF(payesh!L147=$F$6,1,IF(payesh!L147="کسر شد",-1,0))</f>
        <v>0</v>
      </c>
      <c r="AI6" s="228">
        <f>IF(payesh!M147=$F$6,1,IF(payesh!M147="کسر شد",-1,0))</f>
        <v>0</v>
      </c>
      <c r="AJ6" s="228">
        <f>IF(payesh!N147=$F$6,1,IF(payesh!N147="کسر شد",-1,0))</f>
        <v>0</v>
      </c>
      <c r="AK6" s="228">
        <f>IF(payesh!O147=$F$6,1,IF(payesh!O147="کسر شد",-1,0))</f>
        <v>0</v>
      </c>
      <c r="AL6" s="228">
        <f>IF(payesh!P147=$F$6,1,IF(payesh!P147="کسر شد",-1,0))</f>
        <v>0</v>
      </c>
      <c r="AM6" s="228">
        <f>IF(payesh!Q147=$F$6,1,IF(payesh!Q147="کسر شد",-1,0))</f>
        <v>0</v>
      </c>
      <c r="AN6" s="228">
        <f>IF(payesh!R147=$F$6,1,IF(payesh!R147="کسر شد",-1,0))</f>
        <v>0</v>
      </c>
      <c r="AO6" s="228">
        <f>IF(payesh!S147=$F$6,1,IF(payesh!S147="کسر شد",-1,0))</f>
        <v>0</v>
      </c>
      <c r="AP6" s="228">
        <f>IF(payesh!T147=$F$6,1,IF(payesh!T147="کسر شد",-1,0))</f>
        <v>0</v>
      </c>
      <c r="AQ6" s="228">
        <f>IF(payesh!U147=$F$6,1,IF(payesh!U147="کسر شد",-1,0))</f>
        <v>0</v>
      </c>
      <c r="AR6" s="228">
        <f>IF(payesh!V147=$F$6,1,IF(payesh!V147="کسر شد",-1,0))</f>
        <v>0</v>
      </c>
      <c r="AS6" s="228">
        <f>IF(payesh!W147=$F$6,1,IF(payesh!W147="کسر شد",-1,0))</f>
        <v>0</v>
      </c>
      <c r="AT6" s="228">
        <f>IF(payesh!X147=$F$6,1,IF(payesh!X147="کسر شد",-1,0))</f>
        <v>0</v>
      </c>
    </row>
    <row r="7" spans="3:46" ht="44.25" customHeight="1" x14ac:dyDescent="0.25">
      <c r="C7" s="163">
        <v>2</v>
      </c>
      <c r="D7" s="164" t="s">
        <v>268</v>
      </c>
      <c r="E7" s="164" t="s">
        <v>269</v>
      </c>
      <c r="F7" s="201" t="s">
        <v>283</v>
      </c>
      <c r="G7" s="178">
        <v>0.2</v>
      </c>
      <c r="H7" s="165">
        <f t="shared" ref="H7:H11" si="3">L7*0.5</f>
        <v>1400000</v>
      </c>
      <c r="I7" s="165">
        <f>L7*0.17857143</f>
        <v>500000.00400000002</v>
      </c>
      <c r="J7" s="165">
        <f t="shared" ref="J7:J11" si="4">L7*0.17142857</f>
        <v>479999.99599999998</v>
      </c>
      <c r="K7" s="165">
        <f t="shared" si="0"/>
        <v>420000</v>
      </c>
      <c r="L7" s="176">
        <f>L12*G7</f>
        <v>2800000</v>
      </c>
      <c r="M7" s="205">
        <f t="shared" si="1"/>
        <v>0</v>
      </c>
      <c r="N7" s="203">
        <f>$M$7*H7</f>
        <v>0</v>
      </c>
      <c r="O7" s="168">
        <f t="shared" ref="O7:Q7" si="5">$M$7*I7</f>
        <v>0</v>
      </c>
      <c r="P7" s="168">
        <f t="shared" si="5"/>
        <v>0</v>
      </c>
      <c r="Q7" s="168">
        <f t="shared" si="5"/>
        <v>0</v>
      </c>
      <c r="R7" s="169">
        <f t="shared" ref="R7:R11" si="6">SUM(N7:Q7)</f>
        <v>0</v>
      </c>
      <c r="S7" s="208">
        <v>0.2</v>
      </c>
      <c r="T7" s="206">
        <f>(V7/4)*3</f>
        <v>420000</v>
      </c>
      <c r="U7" s="173">
        <f t="shared" ref="U7:U11" si="7">(V7/4)</f>
        <v>140000</v>
      </c>
      <c r="V7" s="174">
        <f>V12*S7</f>
        <v>560000</v>
      </c>
      <c r="W7" s="236">
        <f t="shared" si="2"/>
        <v>0</v>
      </c>
      <c r="X7" s="234">
        <f>$W$7*T7</f>
        <v>0</v>
      </c>
      <c r="Y7" s="218">
        <f>$W$7*U7</f>
        <v>0</v>
      </c>
      <c r="Z7" s="222">
        <f t="shared" ref="Z7:Z11" si="8">SUM(X7:Y7)</f>
        <v>0</v>
      </c>
      <c r="AA7" s="186">
        <f>IF(payesh!E148=$F$7,1,IF(payesh!E148="کسر شد",-1,0))</f>
        <v>0</v>
      </c>
      <c r="AB7" s="187">
        <f>IF(payesh!F148=$F$7,1,IF(payesh!F148="کسر شد",-1,0))</f>
        <v>0</v>
      </c>
      <c r="AC7" s="187">
        <f>IF(payesh!G148=$F$7,1,IF(payesh!G148="کسر شد",-1,0))</f>
        <v>0</v>
      </c>
      <c r="AD7" s="187">
        <f>IF(payesh!H148=$F$7,1,IF(payesh!H148="کسر شد",-1,0))</f>
        <v>0</v>
      </c>
      <c r="AE7" s="187">
        <f>IF(payesh!I148=$F$7,1,IF(payesh!I148="کسر شد",-1,0))</f>
        <v>0</v>
      </c>
      <c r="AF7" s="187">
        <f>IF(payesh!J148=$F$7,1,IF(payesh!J148="کسر شد",-1,0))</f>
        <v>0</v>
      </c>
      <c r="AG7" s="187">
        <f>IF(payesh!K148=$F$7,1,IF(payesh!K148="کسر شد",-1,0))</f>
        <v>0</v>
      </c>
      <c r="AH7" s="187">
        <f>IF(payesh!L148=$F$7,1,IF(payesh!L148="کسر شد",-1,0))</f>
        <v>0</v>
      </c>
      <c r="AI7" s="187">
        <f>IF(payesh!M148=$F$7,1,IF(payesh!M148="کسر شد",-1,0))</f>
        <v>0</v>
      </c>
      <c r="AJ7" s="187">
        <f>IF(payesh!N148=$F$7,1,IF(payesh!N148="کسر شد",-1,0))</f>
        <v>0</v>
      </c>
      <c r="AK7" s="187">
        <f>IF(payesh!O148=$F$7,1,IF(payesh!O148="کسر شد",-1,0))</f>
        <v>0</v>
      </c>
      <c r="AL7" s="187">
        <f>IF(payesh!P148=$F$7,1,IF(payesh!P148="کسر شد",-1,0))</f>
        <v>0</v>
      </c>
      <c r="AM7" s="187">
        <f>IF(payesh!Q148=$F$7,1,IF(payesh!Q148="کسر شد",-1,0))</f>
        <v>0</v>
      </c>
      <c r="AN7" s="187">
        <f>IF(payesh!R148=$F$7,1,IF(payesh!R148="کسر شد",-1,0))</f>
        <v>0</v>
      </c>
      <c r="AO7" s="187">
        <f>IF(payesh!S148=$F$7,1,IF(payesh!S148="کسر شد",-1,0))</f>
        <v>0</v>
      </c>
      <c r="AP7" s="187">
        <f>IF(payesh!T148=$F$7,1,IF(payesh!T148="کسر شد",-1,0))</f>
        <v>0</v>
      </c>
      <c r="AQ7" s="187">
        <f>IF(payesh!U148=$F$7,1,IF(payesh!U148="کسر شد",-1,0))</f>
        <v>0</v>
      </c>
      <c r="AR7" s="187">
        <f>IF(payesh!V148=$F$7,1,IF(payesh!V148="کسر شد",-1,0))</f>
        <v>0</v>
      </c>
      <c r="AS7" s="187">
        <f>IF(payesh!W148=$F$7,1,IF(payesh!W148="کسر شد",-1,0))</f>
        <v>0</v>
      </c>
      <c r="AT7" s="187">
        <f>IF(payesh!X148=$F$7,1,IF(payesh!X148="کسر شد",-1,0))</f>
        <v>0</v>
      </c>
    </row>
    <row r="8" spans="3:46" ht="48.75" customHeight="1" x14ac:dyDescent="0.25">
      <c r="C8" s="163">
        <v>3</v>
      </c>
      <c r="D8" s="164" t="s">
        <v>270</v>
      </c>
      <c r="E8" s="164" t="s">
        <v>271</v>
      </c>
      <c r="F8" s="201" t="s">
        <v>285</v>
      </c>
      <c r="G8" s="178">
        <v>0.25</v>
      </c>
      <c r="H8" s="165">
        <f t="shared" si="3"/>
        <v>1750000</v>
      </c>
      <c r="I8" s="165">
        <f t="shared" ref="I8:I11" si="9">L8*0.17857143</f>
        <v>625000.005</v>
      </c>
      <c r="J8" s="165">
        <f>L8*0.17142857</f>
        <v>599999.995</v>
      </c>
      <c r="K8" s="165">
        <f t="shared" si="0"/>
        <v>525000</v>
      </c>
      <c r="L8" s="176">
        <f>L12*G8</f>
        <v>3500000</v>
      </c>
      <c r="M8" s="205">
        <f t="shared" si="1"/>
        <v>0</v>
      </c>
      <c r="N8" s="203">
        <f>$M$8*H8</f>
        <v>0</v>
      </c>
      <c r="O8" s="168">
        <f t="shared" ref="O8:Q8" si="10">$M$8*I8</f>
        <v>0</v>
      </c>
      <c r="P8" s="168">
        <f t="shared" si="10"/>
        <v>0</v>
      </c>
      <c r="Q8" s="168">
        <f t="shared" si="10"/>
        <v>0</v>
      </c>
      <c r="R8" s="169">
        <f t="shared" si="6"/>
        <v>0</v>
      </c>
      <c r="S8" s="208">
        <v>0.25</v>
      </c>
      <c r="T8" s="206">
        <f t="shared" ref="T8:T11" si="11">(V8/4)*3</f>
        <v>525000</v>
      </c>
      <c r="U8" s="173">
        <f t="shared" si="7"/>
        <v>175000</v>
      </c>
      <c r="V8" s="174">
        <f>V12*S8</f>
        <v>700000</v>
      </c>
      <c r="W8" s="236">
        <f t="shared" si="2"/>
        <v>0</v>
      </c>
      <c r="X8" s="234">
        <f>$W$8*T8</f>
        <v>0</v>
      </c>
      <c r="Y8" s="218">
        <f>$W$8*U8</f>
        <v>0</v>
      </c>
      <c r="Z8" s="222">
        <f t="shared" si="8"/>
        <v>0</v>
      </c>
      <c r="AA8" s="186">
        <f>IF(payesh!E149=$F$8,1,IF(payesh!E149="کسر شد",-1,0))</f>
        <v>0</v>
      </c>
      <c r="AB8" s="187">
        <f>IF(payesh!F149=$F$8,1,IF(payesh!F149="کسر شد",-1,0))</f>
        <v>0</v>
      </c>
      <c r="AC8" s="187">
        <f>IF(payesh!G149=$F$8,1,IF(payesh!G149="کسر شد",-1,0))</f>
        <v>0</v>
      </c>
      <c r="AD8" s="187">
        <f>IF(payesh!H149=$F$8,1,IF(payesh!H149="کسر شد",-1,0))</f>
        <v>0</v>
      </c>
      <c r="AE8" s="187">
        <f>IF(payesh!I149=$F$8,1,IF(payesh!I149="کسر شد",-1,0))</f>
        <v>0</v>
      </c>
      <c r="AF8" s="187">
        <f>IF(payesh!J149=$F$8,1,IF(payesh!J149="کسر شد",-1,0))</f>
        <v>0</v>
      </c>
      <c r="AG8" s="187">
        <f>IF(payesh!K149=$F$8,1,IF(payesh!K149="کسر شد",-1,0))</f>
        <v>0</v>
      </c>
      <c r="AH8" s="187">
        <f>IF(payesh!L149=$F$8,1,IF(payesh!L149="کسر شد",-1,0))</f>
        <v>0</v>
      </c>
      <c r="AI8" s="187">
        <f>IF(payesh!M149=$F$8,1,IF(payesh!M149="کسر شد",-1,0))</f>
        <v>0</v>
      </c>
      <c r="AJ8" s="187">
        <f>IF(payesh!N149=$F$8,1,IF(payesh!N149="کسر شد",-1,0))</f>
        <v>0</v>
      </c>
      <c r="AK8" s="187">
        <f>IF(payesh!O149=$F$8,1,IF(payesh!O149="کسر شد",-1,0))</f>
        <v>0</v>
      </c>
      <c r="AL8" s="187">
        <f>IF(payesh!P149=$F$8,1,IF(payesh!P149="کسر شد",-1,0))</f>
        <v>0</v>
      </c>
      <c r="AM8" s="187">
        <f>IF(payesh!Q149=$F$8,1,IF(payesh!Q149="کسر شد",-1,0))</f>
        <v>0</v>
      </c>
      <c r="AN8" s="187">
        <f>IF(payesh!R149=$F$8,1,IF(payesh!R149="کسر شد",-1,0))</f>
        <v>0</v>
      </c>
      <c r="AO8" s="187">
        <f>IF(payesh!S149=$F$8,1,IF(payesh!S149="کسر شد",-1,0))</f>
        <v>0</v>
      </c>
      <c r="AP8" s="187">
        <f>IF(payesh!T149=$F$8,1,IF(payesh!T149="کسر شد",-1,0))</f>
        <v>0</v>
      </c>
      <c r="AQ8" s="187">
        <f>IF(payesh!U149=$F$8,1,IF(payesh!U149="کسر شد",-1,0))</f>
        <v>0</v>
      </c>
      <c r="AR8" s="187">
        <f>IF(payesh!V149=$F$8,1,IF(payesh!V149="کسر شد",-1,0))</f>
        <v>0</v>
      </c>
      <c r="AS8" s="187">
        <f>IF(payesh!W149=$F$8,1,IF(payesh!W149="کسر شد",-1,0))</f>
        <v>0</v>
      </c>
      <c r="AT8" s="187">
        <f>IF(payesh!X149=$F$8,1,IF(payesh!X149="کسر شد",-1,0))</f>
        <v>0</v>
      </c>
    </row>
    <row r="9" spans="3:46" ht="32.25" customHeight="1" x14ac:dyDescent="0.25">
      <c r="C9" s="163">
        <v>4</v>
      </c>
      <c r="D9" s="164" t="s">
        <v>272</v>
      </c>
      <c r="E9" s="164" t="s">
        <v>273</v>
      </c>
      <c r="F9" s="201" t="s">
        <v>286</v>
      </c>
      <c r="G9" s="178">
        <v>0.2</v>
      </c>
      <c r="H9" s="165">
        <f t="shared" si="3"/>
        <v>1400000</v>
      </c>
      <c r="I9" s="165">
        <f t="shared" si="9"/>
        <v>500000.00400000002</v>
      </c>
      <c r="J9" s="165">
        <f t="shared" si="4"/>
        <v>479999.99599999998</v>
      </c>
      <c r="K9" s="165">
        <f t="shared" si="0"/>
        <v>420000</v>
      </c>
      <c r="L9" s="176">
        <f>L12*G9</f>
        <v>2800000</v>
      </c>
      <c r="M9" s="205">
        <f t="shared" si="1"/>
        <v>0</v>
      </c>
      <c r="N9" s="203">
        <f>$M$9*H9</f>
        <v>0</v>
      </c>
      <c r="O9" s="168">
        <f t="shared" ref="O9:Q9" si="12">$M$9*I9</f>
        <v>0</v>
      </c>
      <c r="P9" s="168">
        <f t="shared" si="12"/>
        <v>0</v>
      </c>
      <c r="Q9" s="168">
        <f t="shared" si="12"/>
        <v>0</v>
      </c>
      <c r="R9" s="169">
        <f t="shared" si="6"/>
        <v>0</v>
      </c>
      <c r="S9" s="208">
        <v>0.2</v>
      </c>
      <c r="T9" s="206">
        <f t="shared" si="11"/>
        <v>420000</v>
      </c>
      <c r="U9" s="173">
        <f t="shared" si="7"/>
        <v>140000</v>
      </c>
      <c r="V9" s="174">
        <f>V12*S9</f>
        <v>560000</v>
      </c>
      <c r="W9" s="236">
        <f t="shared" si="2"/>
        <v>0</v>
      </c>
      <c r="X9" s="234">
        <f>$W$9*T9</f>
        <v>0</v>
      </c>
      <c r="Y9" s="218">
        <f>$W$9*U9</f>
        <v>0</v>
      </c>
      <c r="Z9" s="222">
        <f t="shared" si="8"/>
        <v>0</v>
      </c>
      <c r="AA9" s="186">
        <f>IF(payesh!E150=$F$9,1,IF(payesh!E150="کسر شد",-1,0))</f>
        <v>0</v>
      </c>
      <c r="AB9" s="187">
        <f>IF(payesh!F150=$F$9,1,IF(payesh!F150="کسر شد",-1,0))</f>
        <v>0</v>
      </c>
      <c r="AC9" s="187">
        <f>IF(payesh!G150=$F$9,1,IF(payesh!G150="کسر شد",-1,0))</f>
        <v>0</v>
      </c>
      <c r="AD9" s="187">
        <f>IF(payesh!H150=$F$9,1,IF(payesh!H150="کسر شد",-1,0))</f>
        <v>0</v>
      </c>
      <c r="AE9" s="187">
        <f>IF(payesh!I150=$F$9,1,IF(payesh!I150="کسر شد",-1,0))</f>
        <v>0</v>
      </c>
      <c r="AF9" s="187">
        <f>IF(payesh!J150=$F$9,1,IF(payesh!J150="کسر شد",-1,0))</f>
        <v>0</v>
      </c>
      <c r="AG9" s="187">
        <f>IF(payesh!K150=$F$9,1,IF(payesh!K150="کسر شد",-1,0))</f>
        <v>0</v>
      </c>
      <c r="AH9" s="187">
        <f>IF(payesh!L150=$F$9,1,IF(payesh!L150="کسر شد",-1,0))</f>
        <v>0</v>
      </c>
      <c r="AI9" s="187">
        <f>IF(payesh!M150=$F$9,1,IF(payesh!M150="کسر شد",-1,0))</f>
        <v>0</v>
      </c>
      <c r="AJ9" s="187">
        <f>IF(payesh!N150=$F$9,1,IF(payesh!N150="کسر شد",-1,0))</f>
        <v>0</v>
      </c>
      <c r="AK9" s="187">
        <f>IF(payesh!O150=$F$9,1,IF(payesh!O150="کسر شد",-1,0))</f>
        <v>0</v>
      </c>
      <c r="AL9" s="187">
        <f>IF(payesh!P150=$F$9,1,IF(payesh!P150="کسر شد",-1,0))</f>
        <v>0</v>
      </c>
      <c r="AM9" s="187">
        <f>IF(payesh!Q150=$F$9,1,IF(payesh!Q150="کسر شد",-1,0))</f>
        <v>0</v>
      </c>
      <c r="AN9" s="187">
        <f>IF(payesh!R150=$F$9,1,IF(payesh!R150="کسر شد",-1,0))</f>
        <v>0</v>
      </c>
      <c r="AO9" s="187">
        <f>IF(payesh!S150=$F$9,1,IF(payesh!S150="کسر شد",-1,0))</f>
        <v>0</v>
      </c>
      <c r="AP9" s="187">
        <f>IF(payesh!T150=$F$9,1,IF(payesh!T150="کسر شد",-1,0))</f>
        <v>0</v>
      </c>
      <c r="AQ9" s="187">
        <f>IF(payesh!U150=$F$9,1,IF(payesh!U150="کسر شد",-1,0))</f>
        <v>0</v>
      </c>
      <c r="AR9" s="187">
        <f>IF(payesh!V150=$F$9,1,IF(payesh!V150="کسر شد",-1,0))</f>
        <v>0</v>
      </c>
      <c r="AS9" s="187">
        <f>IF(payesh!W150=$F$9,1,IF(payesh!W150="کسر شد",-1,0))</f>
        <v>0</v>
      </c>
      <c r="AT9" s="187">
        <f>IF(payesh!X150=$F$9,1,IF(payesh!X150="کسر شد",-1,0))</f>
        <v>0</v>
      </c>
    </row>
    <row r="10" spans="3:46" ht="44.25" customHeight="1" x14ac:dyDescent="0.25">
      <c r="C10" s="163">
        <v>5</v>
      </c>
      <c r="D10" s="164" t="s">
        <v>274</v>
      </c>
      <c r="E10" s="164" t="s">
        <v>275</v>
      </c>
      <c r="F10" s="201" t="s">
        <v>287</v>
      </c>
      <c r="G10" s="178">
        <v>0.15</v>
      </c>
      <c r="H10" s="165">
        <f t="shared" si="3"/>
        <v>1050000</v>
      </c>
      <c r="I10" s="165">
        <f t="shared" si="9"/>
        <v>375000.00300000003</v>
      </c>
      <c r="J10" s="165">
        <f t="shared" si="4"/>
        <v>359999.99700000003</v>
      </c>
      <c r="K10" s="165">
        <f t="shared" si="0"/>
        <v>315000</v>
      </c>
      <c r="L10" s="176">
        <f>L12*G10</f>
        <v>2100000</v>
      </c>
      <c r="M10" s="205">
        <f t="shared" si="1"/>
        <v>0</v>
      </c>
      <c r="N10" s="203">
        <f>$M$10*H10</f>
        <v>0</v>
      </c>
      <c r="O10" s="168">
        <f t="shared" ref="O10:Q10" si="13">$M$10*I10</f>
        <v>0</v>
      </c>
      <c r="P10" s="168">
        <f t="shared" si="13"/>
        <v>0</v>
      </c>
      <c r="Q10" s="168">
        <f t="shared" si="13"/>
        <v>0</v>
      </c>
      <c r="R10" s="169">
        <f t="shared" si="6"/>
        <v>0</v>
      </c>
      <c r="S10" s="208">
        <v>0.15</v>
      </c>
      <c r="T10" s="206">
        <f t="shared" si="11"/>
        <v>315000</v>
      </c>
      <c r="U10" s="173">
        <f t="shared" si="7"/>
        <v>105000</v>
      </c>
      <c r="V10" s="174">
        <f>V12*S10</f>
        <v>420000</v>
      </c>
      <c r="W10" s="236">
        <f t="shared" si="2"/>
        <v>0</v>
      </c>
      <c r="X10" s="234">
        <f>$W$10*T10</f>
        <v>0</v>
      </c>
      <c r="Y10" s="218">
        <f>$W$10*U10</f>
        <v>0</v>
      </c>
      <c r="Z10" s="222">
        <f t="shared" si="8"/>
        <v>0</v>
      </c>
      <c r="AA10" s="186">
        <f>IF(payesh!E151=$F$10,1,IF(payesh!E151="کسر شد",-1,0))</f>
        <v>0</v>
      </c>
      <c r="AB10" s="187">
        <f>IF(payesh!F151=$F$10,1,IF(payesh!F151="کسر شد",-1,0))</f>
        <v>0</v>
      </c>
      <c r="AC10" s="187">
        <f>IF(payesh!G151=$F$10,1,IF(payesh!G151="کسر شد",-1,0))</f>
        <v>0</v>
      </c>
      <c r="AD10" s="187">
        <f>IF(payesh!H151=$F$10,1,IF(payesh!H151="کسر شد",-1,0))</f>
        <v>0</v>
      </c>
      <c r="AE10" s="187">
        <f>IF(payesh!I151=$F$10,1,IF(payesh!I151="کسر شد",-1,0))</f>
        <v>0</v>
      </c>
      <c r="AF10" s="187">
        <f>IF(payesh!J151=$F$10,1,IF(payesh!J151="کسر شد",-1,0))</f>
        <v>0</v>
      </c>
      <c r="AG10" s="187">
        <f>IF(payesh!K151=$F$10,1,IF(payesh!K151="کسر شد",-1,0))</f>
        <v>0</v>
      </c>
      <c r="AH10" s="187">
        <f>IF(payesh!L151=$F$10,1,IF(payesh!L151="کسر شد",-1,0))</f>
        <v>0</v>
      </c>
      <c r="AI10" s="187">
        <f>IF(payesh!M151=$F$10,1,IF(payesh!M151="کسر شد",-1,0))</f>
        <v>0</v>
      </c>
      <c r="AJ10" s="187">
        <f>IF(payesh!N151=$F$10,1,IF(payesh!N151="کسر شد",-1,0))</f>
        <v>0</v>
      </c>
      <c r="AK10" s="187">
        <f>IF(payesh!O151=$F$10,1,IF(payesh!O151="کسر شد",-1,0))</f>
        <v>0</v>
      </c>
      <c r="AL10" s="187">
        <f>IF(payesh!P151=$F$10,1,IF(payesh!P151="کسر شد",-1,0))</f>
        <v>0</v>
      </c>
      <c r="AM10" s="187">
        <f>IF(payesh!Q151=$F$10,1,IF(payesh!Q151="کسر شد",-1,0))</f>
        <v>0</v>
      </c>
      <c r="AN10" s="187">
        <f>IF(payesh!R151=$F$10,1,IF(payesh!R151="کسر شد",-1,0))</f>
        <v>0</v>
      </c>
      <c r="AO10" s="187">
        <f>IF(payesh!S151=$F$10,1,IF(payesh!S151="کسر شد",-1,0))</f>
        <v>0</v>
      </c>
      <c r="AP10" s="187">
        <f>IF(payesh!T151=$F$10,1,IF(payesh!T151="کسر شد",-1,0))</f>
        <v>0</v>
      </c>
      <c r="AQ10" s="187">
        <f>IF(payesh!U151=$F$10,1,IF(payesh!U151="کسر شد",-1,0))</f>
        <v>0</v>
      </c>
      <c r="AR10" s="187">
        <f>IF(payesh!V151=$F$10,1,IF(payesh!V151="کسر شد",-1,0))</f>
        <v>0</v>
      </c>
      <c r="AS10" s="187">
        <f>IF(payesh!W151=$F$10,1,IF(payesh!W151="کسر شد",-1,0))</f>
        <v>0</v>
      </c>
      <c r="AT10" s="187">
        <f>IF(payesh!X151=$F$10,1,IF(payesh!X151="کسر شد",-1,0))</f>
        <v>0</v>
      </c>
    </row>
    <row r="11" spans="3:46" ht="31.5" customHeight="1" thickBot="1" x14ac:dyDescent="0.3">
      <c r="C11" s="166">
        <v>6</v>
      </c>
      <c r="D11" s="167" t="s">
        <v>276</v>
      </c>
      <c r="E11" s="167" t="s">
        <v>277</v>
      </c>
      <c r="F11" s="202" t="s">
        <v>288</v>
      </c>
      <c r="G11" s="179">
        <v>0.05</v>
      </c>
      <c r="H11" s="192">
        <f t="shared" si="3"/>
        <v>350000</v>
      </c>
      <c r="I11" s="192">
        <f t="shared" si="9"/>
        <v>125000.001</v>
      </c>
      <c r="J11" s="192">
        <f t="shared" si="4"/>
        <v>119999.999</v>
      </c>
      <c r="K11" s="192">
        <f t="shared" si="0"/>
        <v>105000</v>
      </c>
      <c r="L11" s="193">
        <f>L12*G11</f>
        <v>700000</v>
      </c>
      <c r="M11" s="205">
        <f t="shared" si="1"/>
        <v>0</v>
      </c>
      <c r="N11" s="203">
        <f>$M$11*H11</f>
        <v>0</v>
      </c>
      <c r="O11" s="168">
        <f t="shared" ref="O11:Q11" si="14">$M$11*I11</f>
        <v>0</v>
      </c>
      <c r="P11" s="168">
        <f t="shared" si="14"/>
        <v>0</v>
      </c>
      <c r="Q11" s="168">
        <f t="shared" si="14"/>
        <v>0</v>
      </c>
      <c r="R11" s="169">
        <f t="shared" si="6"/>
        <v>0</v>
      </c>
      <c r="S11" s="209">
        <v>0.05</v>
      </c>
      <c r="T11" s="206">
        <f t="shared" si="11"/>
        <v>105000</v>
      </c>
      <c r="U11" s="173">
        <f t="shared" si="7"/>
        <v>35000</v>
      </c>
      <c r="V11" s="174">
        <f>V12*S11</f>
        <v>140000</v>
      </c>
      <c r="W11" s="237">
        <f t="shared" si="2"/>
        <v>0</v>
      </c>
      <c r="X11" s="235">
        <f>$W$11*T11</f>
        <v>0</v>
      </c>
      <c r="Y11" s="220">
        <f>$W$11*U11</f>
        <v>0</v>
      </c>
      <c r="Z11" s="223">
        <f t="shared" si="8"/>
        <v>0</v>
      </c>
      <c r="AA11" s="188">
        <f>IF(payesh!E152=$F$11,1,IF(payesh!E152="کسر شد",-1,0))</f>
        <v>0</v>
      </c>
      <c r="AB11" s="189">
        <f>IF(payesh!F152=$F$11,1,IF(payesh!F152="کسر شد",-1,0))</f>
        <v>0</v>
      </c>
      <c r="AC11" s="189">
        <f>IF(payesh!G152=$F$11,1,IF(payesh!G152="کسر شد",-1,0))</f>
        <v>0</v>
      </c>
      <c r="AD11" s="189">
        <f>IF(payesh!H152=$F$11,1,IF(payesh!H152="کسر شد",-1,0))</f>
        <v>0</v>
      </c>
      <c r="AE11" s="189">
        <f>IF(payesh!I152=$F$11,1,IF(payesh!I152="کسر شد",-1,0))</f>
        <v>0</v>
      </c>
      <c r="AF11" s="189">
        <f>IF(payesh!J152=$F$11,1,IF(payesh!J152="کسر شد",-1,0))</f>
        <v>0</v>
      </c>
      <c r="AG11" s="189">
        <f>IF(payesh!K152=$F$11,1,IF(payesh!K152="کسر شد",-1,0))</f>
        <v>0</v>
      </c>
      <c r="AH11" s="189">
        <f>IF(payesh!L152=$F$11,1,IF(payesh!L152="کسر شد",-1,0))</f>
        <v>0</v>
      </c>
      <c r="AI11" s="189">
        <f>IF(payesh!M152=$F$11,1,IF(payesh!M152="کسر شد",-1,0))</f>
        <v>0</v>
      </c>
      <c r="AJ11" s="189">
        <f>IF(payesh!N152=$F$11,1,IF(payesh!N152="کسر شد",-1,0))</f>
        <v>0</v>
      </c>
      <c r="AK11" s="189">
        <f>IF(payesh!O152=$F$11,1,IF(payesh!O152="کسر شد",-1,0))</f>
        <v>0</v>
      </c>
      <c r="AL11" s="189">
        <f>IF(payesh!P152=$F$11,1,IF(payesh!P152="کسر شد",-1,0))</f>
        <v>0</v>
      </c>
      <c r="AM11" s="189">
        <f>IF(payesh!Q152=$F$11,1,IF(payesh!Q152="کسر شد",-1,0))</f>
        <v>0</v>
      </c>
      <c r="AN11" s="189">
        <f>IF(payesh!R152=$F$11,1,IF(payesh!R152="کسر شد",-1,0))</f>
        <v>0</v>
      </c>
      <c r="AO11" s="189">
        <f>IF(payesh!S152=$F$11,1,IF(payesh!S152="کسر شد",-1,0))</f>
        <v>0</v>
      </c>
      <c r="AP11" s="189">
        <f>IF(payesh!T152=$F$11,1,IF(payesh!T152="کسر شد",-1,0))</f>
        <v>0</v>
      </c>
      <c r="AQ11" s="189">
        <f>IF(payesh!U152=$F$11,1,IF(payesh!U152="کسر شد",-1,0))</f>
        <v>0</v>
      </c>
      <c r="AR11" s="189">
        <f>IF(payesh!V152=$F$11,1,IF(payesh!V152="کسر شد",-1,0))</f>
        <v>0</v>
      </c>
      <c r="AS11" s="189">
        <f>IF(payesh!W152=$F$11,1,IF(payesh!W152="کسر شد",-1,0))</f>
        <v>0</v>
      </c>
      <c r="AT11" s="189">
        <f>IF(payesh!X152=$F$11,1,IF(payesh!X152="کسر شد",-1,0))</f>
        <v>0</v>
      </c>
    </row>
    <row r="12" spans="3:46" ht="38.25" thickBot="1" x14ac:dyDescent="0.3">
      <c r="C12" s="620" t="s">
        <v>90</v>
      </c>
      <c r="D12" s="621"/>
      <c r="E12" s="621"/>
      <c r="F12" s="622"/>
      <c r="G12" s="196">
        <f t="shared" ref="G12:K12" si="15">SUM(G6:G11)</f>
        <v>1</v>
      </c>
      <c r="H12" s="194">
        <f>SUM(H6:H11)</f>
        <v>7000000</v>
      </c>
      <c r="I12" s="194">
        <f t="shared" si="15"/>
        <v>2500000.0200000005</v>
      </c>
      <c r="J12" s="194">
        <f t="shared" si="15"/>
        <v>2399999.98</v>
      </c>
      <c r="K12" s="194">
        <f t="shared" si="15"/>
        <v>2100000</v>
      </c>
      <c r="L12" s="195">
        <v>14000000</v>
      </c>
      <c r="M12" s="190">
        <f>SUM(M6:M11)</f>
        <v>0</v>
      </c>
      <c r="N12" s="170">
        <f>SUM(N6:N11)</f>
        <v>0</v>
      </c>
      <c r="O12" s="170">
        <f t="shared" ref="O12:Q12" si="16">SUM(O6:O11)</f>
        <v>0</v>
      </c>
      <c r="P12" s="170">
        <f t="shared" si="16"/>
        <v>0</v>
      </c>
      <c r="Q12" s="170">
        <f t="shared" si="16"/>
        <v>0</v>
      </c>
      <c r="R12" s="191">
        <f>SUM(R6:R11)</f>
        <v>0</v>
      </c>
      <c r="S12" s="196">
        <f t="shared" ref="S12:Z12" si="17">SUM(S6:S11)</f>
        <v>1</v>
      </c>
      <c r="T12" s="197">
        <f t="shared" si="17"/>
        <v>2100000</v>
      </c>
      <c r="U12" s="197">
        <f t="shared" si="17"/>
        <v>700000</v>
      </c>
      <c r="V12" s="198">
        <v>2800000</v>
      </c>
      <c r="W12" s="215">
        <f>SUM(W6:W11)</f>
        <v>0</v>
      </c>
      <c r="X12" s="216">
        <f t="shared" si="17"/>
        <v>0</v>
      </c>
      <c r="Y12" s="216">
        <f t="shared" si="17"/>
        <v>0</v>
      </c>
      <c r="Z12" s="217">
        <f t="shared" si="17"/>
        <v>0</v>
      </c>
    </row>
    <row r="13" spans="3:46" x14ac:dyDescent="0.25">
      <c r="L13" s="159"/>
      <c r="V13" s="159"/>
    </row>
    <row r="15" spans="3:46" x14ac:dyDescent="0.25">
      <c r="L15" s="159"/>
    </row>
    <row r="16" spans="3:46" x14ac:dyDescent="0.25">
      <c r="L16" s="159"/>
      <c r="O16" s="159"/>
    </row>
    <row r="17" spans="12:15" x14ac:dyDescent="0.25">
      <c r="L17" s="159"/>
      <c r="O17" s="159"/>
    </row>
    <row r="18" spans="12:15" x14ac:dyDescent="0.25">
      <c r="L18" s="159"/>
      <c r="O18" s="159"/>
    </row>
    <row r="19" spans="12:15" x14ac:dyDescent="0.25">
      <c r="L19" s="159"/>
    </row>
    <row r="20" spans="12:15" x14ac:dyDescent="0.25">
      <c r="L20" s="159"/>
    </row>
  </sheetData>
  <sheetProtection algorithmName="SHA-512" hashValue="z7Xzz5FNh1of5r7f0lHkXw+MHOyyVpSNnBth6mOPt7gTIBv80B516GcyXUsOhoATjJokXQCsYxBHaVVMzjNXPg==" saltValue="kiyIJ28+X8EwUql6aZNi5Q=="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6"/>
  <sheetViews>
    <sheetView rightToLeft="1" workbookViewId="0">
      <selection activeCell="AJ7" sqref="AJ7"/>
    </sheetView>
  </sheetViews>
  <sheetFormatPr defaultColWidth="9.140625" defaultRowHeight="17.25" x14ac:dyDescent="0.4"/>
  <cols>
    <col min="1" max="1" width="1.28515625" style="422" customWidth="1"/>
    <col min="2" max="2" width="2.42578125" style="422" customWidth="1"/>
    <col min="3" max="3" width="15.140625" style="450" customWidth="1"/>
    <col min="4" max="12" width="2.28515625" style="87" customWidth="1"/>
    <col min="13" max="16" width="2.7109375" style="87" customWidth="1"/>
    <col min="17" max="17" width="2.85546875" style="87" customWidth="1"/>
    <col min="18" max="18" width="2.5703125" style="87" customWidth="1"/>
    <col min="19" max="19" width="2.85546875" style="87" customWidth="1"/>
    <col min="20" max="20" width="3.140625" style="87" customWidth="1"/>
    <col min="21" max="21" width="2.85546875" style="87" customWidth="1"/>
    <col min="22" max="23" width="2.7109375" style="87" customWidth="1"/>
    <col min="24" max="24" width="3.42578125" style="422" customWidth="1"/>
    <col min="25" max="25" width="11" style="422" customWidth="1"/>
    <col min="26" max="26" width="11.140625" style="422" customWidth="1"/>
    <col min="27" max="27" width="11.42578125" style="422" customWidth="1"/>
    <col min="28" max="28" width="11.85546875" style="422" customWidth="1"/>
    <col min="29" max="29" width="13.140625" style="451" customWidth="1"/>
    <col min="30" max="30" width="8.28515625" style="422" customWidth="1"/>
    <col min="31" max="31" width="10.140625" style="422" customWidth="1"/>
    <col min="32" max="33" width="12.42578125" style="422" customWidth="1"/>
    <col min="34" max="16384" width="9.140625" style="422"/>
  </cols>
  <sheetData>
    <row r="1" spans="2:33" ht="18" thickBot="1" x14ac:dyDescent="0.45">
      <c r="B1" s="417"/>
      <c r="C1" s="418"/>
      <c r="D1" s="419"/>
      <c r="E1" s="419"/>
      <c r="F1" s="419"/>
      <c r="G1" s="419"/>
      <c r="H1" s="419"/>
      <c r="I1" s="419"/>
      <c r="J1" s="419"/>
      <c r="K1" s="419"/>
      <c r="L1" s="419"/>
      <c r="M1" s="419"/>
      <c r="N1" s="419"/>
      <c r="O1" s="419"/>
      <c r="P1" s="419"/>
      <c r="Q1" s="419"/>
      <c r="R1" s="419"/>
      <c r="S1" s="419"/>
      <c r="T1" s="420"/>
      <c r="U1" s="420"/>
      <c r="V1" s="420"/>
      <c r="W1" s="420"/>
      <c r="X1" s="417"/>
      <c r="Y1" s="417"/>
      <c r="Z1" s="417"/>
      <c r="AA1" s="417"/>
      <c r="AB1" s="417"/>
      <c r="AC1" s="421"/>
    </row>
    <row r="2" spans="2:33" ht="21" thickBot="1" x14ac:dyDescent="0.55000000000000004">
      <c r="B2" s="650" t="s">
        <v>435</v>
      </c>
      <c r="C2" s="651"/>
      <c r="D2" s="652"/>
      <c r="E2" s="652"/>
      <c r="F2" s="652"/>
      <c r="G2" s="652"/>
      <c r="H2" s="652"/>
      <c r="I2" s="652"/>
      <c r="J2" s="652"/>
      <c r="K2" s="652"/>
      <c r="L2" s="652"/>
      <c r="M2" s="652"/>
      <c r="N2" s="652"/>
      <c r="O2" s="652"/>
      <c r="P2" s="652"/>
      <c r="Q2" s="652"/>
      <c r="R2" s="652"/>
      <c r="S2" s="652"/>
      <c r="T2" s="652"/>
      <c r="U2" s="652"/>
      <c r="V2" s="652"/>
      <c r="W2" s="652"/>
      <c r="X2" s="651"/>
      <c r="Y2" s="651"/>
      <c r="Z2" s="651"/>
      <c r="AA2" s="651"/>
      <c r="AB2" s="651"/>
      <c r="AC2" s="653"/>
    </row>
    <row r="3" spans="2:33" ht="19.5" thickBot="1" x14ac:dyDescent="0.45">
      <c r="B3" s="654" t="s">
        <v>257</v>
      </c>
      <c r="C3" s="657" t="s">
        <v>258</v>
      </c>
      <c r="D3" s="423">
        <f>payesh!E7</f>
        <v>1</v>
      </c>
      <c r="E3" s="424">
        <f>payesh!F7</f>
        <v>2</v>
      </c>
      <c r="F3" s="424">
        <f>payesh!G7</f>
        <v>3</v>
      </c>
      <c r="G3" s="424">
        <f>payesh!H7</f>
        <v>4</v>
      </c>
      <c r="H3" s="424">
        <f>payesh!I7</f>
        <v>5</v>
      </c>
      <c r="I3" s="424">
        <f>payesh!J7</f>
        <v>6</v>
      </c>
      <c r="J3" s="424">
        <f>payesh!K7</f>
        <v>7</v>
      </c>
      <c r="K3" s="424">
        <f>payesh!L7</f>
        <v>8</v>
      </c>
      <c r="L3" s="424">
        <f>payesh!M7</f>
        <v>9</v>
      </c>
      <c r="M3" s="424">
        <f>payesh!N7</f>
        <v>10</v>
      </c>
      <c r="N3" s="424">
        <f>payesh!O7</f>
        <v>11</v>
      </c>
      <c r="O3" s="424">
        <f>payesh!P7</f>
        <v>12</v>
      </c>
      <c r="P3" s="424">
        <f>payesh!Q7</f>
        <v>13</v>
      </c>
      <c r="Q3" s="424">
        <f>payesh!R7</f>
        <v>14</v>
      </c>
      <c r="R3" s="424">
        <f>payesh!S7</f>
        <v>15</v>
      </c>
      <c r="S3" s="424">
        <f>payesh!T7</f>
        <v>16</v>
      </c>
      <c r="T3" s="424">
        <f>payesh!U7</f>
        <v>17</v>
      </c>
      <c r="U3" s="424">
        <f>payesh!V7</f>
        <v>18</v>
      </c>
      <c r="V3" s="424">
        <f>payesh!W7</f>
        <v>19</v>
      </c>
      <c r="W3" s="424">
        <f>payesh!X7</f>
        <v>20</v>
      </c>
      <c r="X3" s="660" t="s">
        <v>434</v>
      </c>
      <c r="Y3" s="660"/>
      <c r="Z3" s="660"/>
      <c r="AA3" s="660"/>
      <c r="AB3" s="660"/>
      <c r="AC3" s="661"/>
      <c r="AD3" s="664" t="str">
        <f>X3</f>
        <v>گزارش پیشرفت مالی تا پایان ……….. ماه ……….- (مبالغ به ریال)</v>
      </c>
      <c r="AE3" s="665"/>
      <c r="AF3" s="665"/>
      <c r="AG3" s="666"/>
    </row>
    <row r="4" spans="2:33" x14ac:dyDescent="0.4">
      <c r="B4" s="655"/>
      <c r="C4" s="658"/>
      <c r="D4" s="474" t="str">
        <f>payesh!E5</f>
        <v>دادانه</v>
      </c>
      <c r="E4" s="475" t="str">
        <f>payesh!F5</f>
        <v>دادانه</v>
      </c>
      <c r="F4" s="475" t="str">
        <f>payesh!G5</f>
        <v>دادانه</v>
      </c>
      <c r="G4" s="475" t="str">
        <f>payesh!H5</f>
        <v>زندان</v>
      </c>
      <c r="H4" s="475" t="str">
        <f>payesh!I5</f>
        <v>گندمان</v>
      </c>
      <c r="I4" s="475" t="str">
        <f>payesh!J5</f>
        <v>گندمان</v>
      </c>
      <c r="J4" s="475" t="str">
        <f>payesh!K5</f>
        <v>نوره</v>
      </c>
      <c r="K4" s="475" t="str">
        <f>payesh!L5</f>
        <v>نوره</v>
      </c>
      <c r="L4" s="475" t="str">
        <f>payesh!M5</f>
        <v>دادانه</v>
      </c>
      <c r="M4" s="475" t="str">
        <f>payesh!N5</f>
        <v>آویهنگ</v>
      </c>
      <c r="N4" s="475" t="str">
        <f>payesh!O5</f>
        <v>دادانه</v>
      </c>
      <c r="O4" s="475" t="str">
        <f>payesh!P5</f>
        <v>دادانه</v>
      </c>
      <c r="P4" s="475" t="str">
        <f>payesh!Q5</f>
        <v>نوره</v>
      </c>
      <c r="Q4" s="475" t="str">
        <f>payesh!R5</f>
        <v>چنو</v>
      </c>
      <c r="R4" s="475">
        <f>payesh!S5</f>
        <v>0</v>
      </c>
      <c r="S4" s="475">
        <f>payesh!T5</f>
        <v>0</v>
      </c>
      <c r="T4" s="475">
        <f>payesh!U5</f>
        <v>0</v>
      </c>
      <c r="U4" s="475">
        <f>payesh!V5</f>
        <v>0</v>
      </c>
      <c r="V4" s="475">
        <f>payesh!W5</f>
        <v>0</v>
      </c>
      <c r="W4" s="475">
        <f>payesh!X5</f>
        <v>0</v>
      </c>
      <c r="X4" s="667" t="s">
        <v>427</v>
      </c>
      <c r="Y4" s="662" t="s">
        <v>261</v>
      </c>
      <c r="Z4" s="662" t="s">
        <v>262</v>
      </c>
      <c r="AA4" s="662" t="s">
        <v>263</v>
      </c>
      <c r="AB4" s="662" t="s">
        <v>264</v>
      </c>
      <c r="AC4" s="662" t="s">
        <v>428</v>
      </c>
      <c r="AD4" s="669" t="s">
        <v>90</v>
      </c>
      <c r="AE4" s="671" t="s">
        <v>279</v>
      </c>
      <c r="AF4" s="671" t="s">
        <v>280</v>
      </c>
      <c r="AG4" s="673" t="s">
        <v>265</v>
      </c>
    </row>
    <row r="5" spans="2:33" ht="34.5" customHeight="1" thickBot="1" x14ac:dyDescent="0.45">
      <c r="B5" s="656"/>
      <c r="C5" s="659"/>
      <c r="D5" s="476" t="str">
        <f>payesh!E6</f>
        <v>كاني بل</v>
      </c>
      <c r="E5" s="477" t="str">
        <f>payesh!F6</f>
        <v>ئالا</v>
      </c>
      <c r="F5" s="477" t="str">
        <f>payesh!G6</f>
        <v>باران</v>
      </c>
      <c r="G5" s="477" t="str">
        <f>payesh!H6</f>
        <v>سربرزي</v>
      </c>
      <c r="H5" s="477" t="str">
        <f>payesh!I6</f>
        <v>روژان</v>
      </c>
      <c r="I5" s="477" t="str">
        <f>payesh!J6</f>
        <v>شقايق</v>
      </c>
      <c r="J5" s="477" t="str">
        <f>payesh!K6</f>
        <v>آگرين</v>
      </c>
      <c r="K5" s="477" t="str">
        <f>payesh!L6</f>
        <v>هاوين</v>
      </c>
      <c r="L5" s="477" t="str">
        <f>payesh!M6</f>
        <v>تريفه</v>
      </c>
      <c r="M5" s="477" t="str">
        <f>payesh!N6</f>
        <v>كوچكه سور</v>
      </c>
      <c r="N5" s="477" t="str">
        <f>payesh!O6</f>
        <v>كاني ده</v>
      </c>
      <c r="O5" s="477" t="str">
        <f>payesh!P6</f>
        <v>ئاويه‌ر</v>
      </c>
      <c r="P5" s="477" t="str">
        <f>payesh!Q6</f>
        <v>سدنا</v>
      </c>
      <c r="Q5" s="477" t="str">
        <f>payesh!R6</f>
        <v>هورام</v>
      </c>
      <c r="R5" s="477">
        <f>payesh!S6</f>
        <v>0</v>
      </c>
      <c r="S5" s="477">
        <f>payesh!T6</f>
        <v>0</v>
      </c>
      <c r="T5" s="477">
        <f>payesh!U6</f>
        <v>0</v>
      </c>
      <c r="U5" s="477">
        <f>payesh!V6</f>
        <v>0</v>
      </c>
      <c r="V5" s="477">
        <f>payesh!W6</f>
        <v>0</v>
      </c>
      <c r="W5" s="477">
        <f>payesh!X6</f>
        <v>0</v>
      </c>
      <c r="X5" s="668"/>
      <c r="Y5" s="663"/>
      <c r="Z5" s="663"/>
      <c r="AA5" s="663"/>
      <c r="AB5" s="663"/>
      <c r="AC5" s="663"/>
      <c r="AD5" s="670"/>
      <c r="AE5" s="672"/>
      <c r="AF5" s="672"/>
      <c r="AG5" s="674"/>
    </row>
    <row r="6" spans="2:33" ht="42.75" x14ac:dyDescent="0.4">
      <c r="B6" s="425">
        <v>1</v>
      </c>
      <c r="C6" s="426" t="s">
        <v>266</v>
      </c>
      <c r="D6" s="427">
        <f>payesh!E147</f>
        <v>0</v>
      </c>
      <c r="E6" s="428">
        <f>payesh!F147</f>
        <v>0</v>
      </c>
      <c r="F6" s="428">
        <f>payesh!G147</f>
        <v>0</v>
      </c>
      <c r="G6" s="428">
        <f>payesh!H147</f>
        <v>0</v>
      </c>
      <c r="H6" s="428">
        <f>payesh!I147</f>
        <v>0</v>
      </c>
      <c r="I6" s="428">
        <f>payesh!J147</f>
        <v>0</v>
      </c>
      <c r="J6" s="428">
        <f>payesh!K147</f>
        <v>0</v>
      </c>
      <c r="K6" s="428">
        <f>payesh!L147</f>
        <v>0</v>
      </c>
      <c r="L6" s="428">
        <f>payesh!M147</f>
        <v>0</v>
      </c>
      <c r="M6" s="428">
        <f>payesh!N147</f>
        <v>0</v>
      </c>
      <c r="N6" s="428">
        <f>payesh!O147</f>
        <v>0</v>
      </c>
      <c r="O6" s="428">
        <f>payesh!P147</f>
        <v>0</v>
      </c>
      <c r="P6" s="428">
        <f>payesh!Q147</f>
        <v>0</v>
      </c>
      <c r="Q6" s="428">
        <f>payesh!R147</f>
        <v>0</v>
      </c>
      <c r="R6" s="428">
        <f>payesh!S147</f>
        <v>0</v>
      </c>
      <c r="S6" s="428">
        <f>payesh!T147</f>
        <v>0</v>
      </c>
      <c r="T6" s="428">
        <f>payesh!U147</f>
        <v>0</v>
      </c>
      <c r="U6" s="428">
        <f>payesh!V147</f>
        <v>0</v>
      </c>
      <c r="V6" s="428">
        <f>payesh!W147</f>
        <v>0</v>
      </c>
      <c r="W6" s="428">
        <f>payesh!X147</f>
        <v>0</v>
      </c>
      <c r="X6" s="456">
        <f>COUNTIF(D6:W6,"ب7")</f>
        <v>0</v>
      </c>
      <c r="Y6" s="429">
        <f>Pardakhti!N6</f>
        <v>0</v>
      </c>
      <c r="Z6" s="430">
        <f>Pardakhti!O6</f>
        <v>0</v>
      </c>
      <c r="AA6" s="430">
        <f>Pardakhti!P6</f>
        <v>0</v>
      </c>
      <c r="AB6" s="454">
        <f>Pardakhti!Q6</f>
        <v>0</v>
      </c>
      <c r="AC6" s="462">
        <f>SUM(Y6:AB6)</f>
        <v>0</v>
      </c>
      <c r="AD6" s="468">
        <f>COUNTIF(J6:W6,"ب7")</f>
        <v>0</v>
      </c>
      <c r="AE6" s="431">
        <f>Pardakhti!X6</f>
        <v>0</v>
      </c>
      <c r="AF6" s="432">
        <f>Pardakhti!Y6</f>
        <v>0</v>
      </c>
      <c r="AG6" s="452">
        <f>SUM(AE6:AF6)</f>
        <v>0</v>
      </c>
    </row>
    <row r="7" spans="2:33" ht="57" x14ac:dyDescent="0.4">
      <c r="B7" s="433">
        <v>2</v>
      </c>
      <c r="C7" s="434" t="s">
        <v>268</v>
      </c>
      <c r="D7" s="435">
        <f>payesh!E148</f>
        <v>0</v>
      </c>
      <c r="E7" s="436">
        <f>payesh!F148</f>
        <v>0</v>
      </c>
      <c r="F7" s="436">
        <f>payesh!G148</f>
        <v>0</v>
      </c>
      <c r="G7" s="436">
        <f>payesh!H148</f>
        <v>0</v>
      </c>
      <c r="H7" s="436">
        <f>payesh!I148</f>
        <v>0</v>
      </c>
      <c r="I7" s="436">
        <f>payesh!J148</f>
        <v>0</v>
      </c>
      <c r="J7" s="436">
        <f>payesh!K148</f>
        <v>0</v>
      </c>
      <c r="K7" s="436">
        <f>payesh!L148</f>
        <v>0</v>
      </c>
      <c r="L7" s="436">
        <f>payesh!M148</f>
        <v>0</v>
      </c>
      <c r="M7" s="436">
        <f>payesh!N148</f>
        <v>0</v>
      </c>
      <c r="N7" s="436">
        <f>payesh!O148</f>
        <v>0</v>
      </c>
      <c r="O7" s="436">
        <f>payesh!P148</f>
        <v>0</v>
      </c>
      <c r="P7" s="436">
        <f>payesh!Q148</f>
        <v>0</v>
      </c>
      <c r="Q7" s="436">
        <f>payesh!R148</f>
        <v>0</v>
      </c>
      <c r="R7" s="436">
        <f>payesh!S148</f>
        <v>0</v>
      </c>
      <c r="S7" s="436">
        <f>payesh!T148</f>
        <v>0</v>
      </c>
      <c r="T7" s="436">
        <f>payesh!U148</f>
        <v>0</v>
      </c>
      <c r="U7" s="436">
        <f>payesh!V148</f>
        <v>0</v>
      </c>
      <c r="V7" s="436">
        <f>payesh!W148</f>
        <v>0</v>
      </c>
      <c r="W7" s="436">
        <f>payesh!X148</f>
        <v>0</v>
      </c>
      <c r="X7" s="457">
        <f>COUNTIF(D7:W7,"پ9")</f>
        <v>0</v>
      </c>
      <c r="Y7" s="437">
        <f>Pardakhti!N7</f>
        <v>0</v>
      </c>
      <c r="Z7" s="438">
        <f>Pardakhti!O7</f>
        <v>0</v>
      </c>
      <c r="AA7" s="438">
        <f>Pardakhti!P7</f>
        <v>0</v>
      </c>
      <c r="AB7" s="455">
        <f>Pardakhti!Q7</f>
        <v>0</v>
      </c>
      <c r="AC7" s="463">
        <f t="shared" ref="AC7:AC11" si="0">SUM(Y7:AB7)</f>
        <v>0</v>
      </c>
      <c r="AD7" s="469">
        <f>COUNTIF(J7:W7,"پ9")</f>
        <v>0</v>
      </c>
      <c r="AE7" s="439">
        <f>Pardakhti!X7</f>
        <v>0</v>
      </c>
      <c r="AF7" s="440">
        <f>Pardakhti!Y7</f>
        <v>0</v>
      </c>
      <c r="AG7" s="453">
        <f t="shared" ref="AG7:AG11" si="1">SUM(AE7:AF7)</f>
        <v>0</v>
      </c>
    </row>
    <row r="8" spans="2:33" ht="57" x14ac:dyDescent="0.4">
      <c r="B8" s="433">
        <v>3</v>
      </c>
      <c r="C8" s="434" t="s">
        <v>270</v>
      </c>
      <c r="D8" s="435">
        <f>payesh!E149</f>
        <v>0</v>
      </c>
      <c r="E8" s="436">
        <f>payesh!F149</f>
        <v>0</v>
      </c>
      <c r="F8" s="436">
        <f>payesh!G149</f>
        <v>0</v>
      </c>
      <c r="G8" s="436">
        <f>payesh!H149</f>
        <v>0</v>
      </c>
      <c r="H8" s="436">
        <f>payesh!I149</f>
        <v>0</v>
      </c>
      <c r="I8" s="436">
        <f>payesh!J149</f>
        <v>0</v>
      </c>
      <c r="J8" s="436">
        <f>payesh!K149</f>
        <v>0</v>
      </c>
      <c r="K8" s="436">
        <f>payesh!L149</f>
        <v>0</v>
      </c>
      <c r="L8" s="436">
        <f>payesh!M149</f>
        <v>0</v>
      </c>
      <c r="M8" s="436">
        <f>payesh!N149</f>
        <v>0</v>
      </c>
      <c r="N8" s="436">
        <f>payesh!O149</f>
        <v>0</v>
      </c>
      <c r="O8" s="436">
        <f>payesh!P149</f>
        <v>0</v>
      </c>
      <c r="P8" s="436">
        <f>payesh!Q149</f>
        <v>0</v>
      </c>
      <c r="Q8" s="436">
        <f>payesh!R149</f>
        <v>0</v>
      </c>
      <c r="R8" s="436">
        <f>payesh!S149</f>
        <v>0</v>
      </c>
      <c r="S8" s="436">
        <f>payesh!T149</f>
        <v>0</v>
      </c>
      <c r="T8" s="436">
        <f>payesh!U149</f>
        <v>0</v>
      </c>
      <c r="U8" s="436">
        <f>payesh!V149</f>
        <v>0</v>
      </c>
      <c r="V8" s="436">
        <f>payesh!W149</f>
        <v>0</v>
      </c>
      <c r="W8" s="436">
        <f>payesh!X149</f>
        <v>0</v>
      </c>
      <c r="X8" s="457">
        <f>COUNTIF(D8:W8,"ت1")</f>
        <v>0</v>
      </c>
      <c r="Y8" s="437">
        <f>Pardakhti!N8</f>
        <v>0</v>
      </c>
      <c r="Z8" s="438">
        <f>Pardakhti!O8</f>
        <v>0</v>
      </c>
      <c r="AA8" s="438">
        <f>Pardakhti!P8</f>
        <v>0</v>
      </c>
      <c r="AB8" s="455">
        <f>Pardakhti!Q8</f>
        <v>0</v>
      </c>
      <c r="AC8" s="463">
        <f t="shared" si="0"/>
        <v>0</v>
      </c>
      <c r="AD8" s="469">
        <f>COUNTIF(J8:W8,"ت1")</f>
        <v>0</v>
      </c>
      <c r="AE8" s="439">
        <f>Pardakhti!X8</f>
        <v>0</v>
      </c>
      <c r="AF8" s="440">
        <f>Pardakhti!Y8</f>
        <v>0</v>
      </c>
      <c r="AG8" s="453">
        <f t="shared" si="1"/>
        <v>0</v>
      </c>
    </row>
    <row r="9" spans="2:33" ht="42.75" x14ac:dyDescent="0.4">
      <c r="B9" s="433">
        <v>4</v>
      </c>
      <c r="C9" s="434" t="s">
        <v>272</v>
      </c>
      <c r="D9" s="435">
        <f>payesh!E150</f>
        <v>0</v>
      </c>
      <c r="E9" s="436">
        <f>payesh!F150</f>
        <v>0</v>
      </c>
      <c r="F9" s="436">
        <f>payesh!G150</f>
        <v>0</v>
      </c>
      <c r="G9" s="436">
        <f>payesh!H150</f>
        <v>0</v>
      </c>
      <c r="H9" s="436">
        <f>payesh!I150</f>
        <v>0</v>
      </c>
      <c r="I9" s="436">
        <f>payesh!J150</f>
        <v>0</v>
      </c>
      <c r="J9" s="436">
        <f>payesh!K150</f>
        <v>0</v>
      </c>
      <c r="K9" s="436">
        <f>payesh!L150</f>
        <v>0</v>
      </c>
      <c r="L9" s="436">
        <f>payesh!M150</f>
        <v>0</v>
      </c>
      <c r="M9" s="436">
        <f>payesh!N150</f>
        <v>0</v>
      </c>
      <c r="N9" s="436">
        <f>payesh!O150</f>
        <v>0</v>
      </c>
      <c r="O9" s="436">
        <f>payesh!P150</f>
        <v>0</v>
      </c>
      <c r="P9" s="436">
        <f>payesh!Q150</f>
        <v>0</v>
      </c>
      <c r="Q9" s="436">
        <f>payesh!R150</f>
        <v>0</v>
      </c>
      <c r="R9" s="436">
        <f>payesh!S150</f>
        <v>0</v>
      </c>
      <c r="S9" s="436">
        <f>payesh!T150</f>
        <v>0</v>
      </c>
      <c r="T9" s="436">
        <f>payesh!U150</f>
        <v>0</v>
      </c>
      <c r="U9" s="436">
        <f>payesh!V150</f>
        <v>0</v>
      </c>
      <c r="V9" s="436">
        <f>payesh!W150</f>
        <v>0</v>
      </c>
      <c r="W9" s="436">
        <f>payesh!X150</f>
        <v>0</v>
      </c>
      <c r="X9" s="457">
        <f>COUNTIF(D9:W9,"ت7")</f>
        <v>0</v>
      </c>
      <c r="Y9" s="437">
        <f>Pardakhti!N9</f>
        <v>0</v>
      </c>
      <c r="Z9" s="438">
        <f>Pardakhti!O9</f>
        <v>0</v>
      </c>
      <c r="AA9" s="438">
        <f>Pardakhti!P9</f>
        <v>0</v>
      </c>
      <c r="AB9" s="455">
        <f>Pardakhti!Q9</f>
        <v>0</v>
      </c>
      <c r="AC9" s="463">
        <f t="shared" si="0"/>
        <v>0</v>
      </c>
      <c r="AD9" s="469">
        <f>COUNTIF(J9:W9,"ت7")</f>
        <v>0</v>
      </c>
      <c r="AE9" s="439">
        <f>Pardakhti!X9</f>
        <v>0</v>
      </c>
      <c r="AF9" s="440">
        <f>Pardakhti!Y9</f>
        <v>0</v>
      </c>
      <c r="AG9" s="453">
        <f t="shared" si="1"/>
        <v>0</v>
      </c>
    </row>
    <row r="10" spans="2:33" ht="28.5" x14ac:dyDescent="0.4">
      <c r="B10" s="433">
        <v>5</v>
      </c>
      <c r="C10" s="434" t="s">
        <v>274</v>
      </c>
      <c r="D10" s="435">
        <f>payesh!E151</f>
        <v>0</v>
      </c>
      <c r="E10" s="436">
        <f>payesh!F151</f>
        <v>0</v>
      </c>
      <c r="F10" s="436">
        <f>payesh!G151</f>
        <v>0</v>
      </c>
      <c r="G10" s="436">
        <f>payesh!H151</f>
        <v>0</v>
      </c>
      <c r="H10" s="436">
        <f>payesh!I151</f>
        <v>0</v>
      </c>
      <c r="I10" s="436">
        <f>payesh!J151</f>
        <v>0</v>
      </c>
      <c r="J10" s="436">
        <f>payesh!K151</f>
        <v>0</v>
      </c>
      <c r="K10" s="436">
        <f>payesh!L151</f>
        <v>0</v>
      </c>
      <c r="L10" s="436">
        <f>payesh!M151</f>
        <v>0</v>
      </c>
      <c r="M10" s="436">
        <f>payesh!N151</f>
        <v>0</v>
      </c>
      <c r="N10" s="436">
        <f>payesh!O151</f>
        <v>0</v>
      </c>
      <c r="O10" s="436">
        <f>payesh!P151</f>
        <v>0</v>
      </c>
      <c r="P10" s="436">
        <f>payesh!Q151</f>
        <v>0</v>
      </c>
      <c r="Q10" s="436">
        <f>payesh!R151</f>
        <v>0</v>
      </c>
      <c r="R10" s="436">
        <f>payesh!S151</f>
        <v>0</v>
      </c>
      <c r="S10" s="436">
        <f>payesh!T151</f>
        <v>0</v>
      </c>
      <c r="T10" s="436">
        <f>payesh!U151</f>
        <v>0</v>
      </c>
      <c r="U10" s="436">
        <f>payesh!V151</f>
        <v>0</v>
      </c>
      <c r="V10" s="436">
        <f>payesh!W151</f>
        <v>0</v>
      </c>
      <c r="W10" s="436">
        <f>payesh!X151</f>
        <v>0</v>
      </c>
      <c r="X10" s="457">
        <f>COUNTIF(D10:W10,"ت9")</f>
        <v>0</v>
      </c>
      <c r="Y10" s="437">
        <f>Pardakhti!N10</f>
        <v>0</v>
      </c>
      <c r="Z10" s="438">
        <f>Pardakhti!O10</f>
        <v>0</v>
      </c>
      <c r="AA10" s="438">
        <f>Pardakhti!P10</f>
        <v>0</v>
      </c>
      <c r="AB10" s="455">
        <f>Pardakhti!Q10</f>
        <v>0</v>
      </c>
      <c r="AC10" s="463">
        <f t="shared" si="0"/>
        <v>0</v>
      </c>
      <c r="AD10" s="469">
        <f>COUNTIF(J10:W10,"ت9")</f>
        <v>0</v>
      </c>
      <c r="AE10" s="439">
        <f>Pardakhti!X10</f>
        <v>0</v>
      </c>
      <c r="AF10" s="440">
        <f>Pardakhti!Y10</f>
        <v>0</v>
      </c>
      <c r="AG10" s="453">
        <f t="shared" si="1"/>
        <v>0</v>
      </c>
    </row>
    <row r="11" spans="2:33" ht="43.5" thickBot="1" x14ac:dyDescent="0.45">
      <c r="B11" s="441">
        <v>6</v>
      </c>
      <c r="C11" s="442" t="s">
        <v>429</v>
      </c>
      <c r="D11" s="443">
        <f>payesh!E152</f>
        <v>0</v>
      </c>
      <c r="E11" s="444">
        <f>payesh!F152</f>
        <v>0</v>
      </c>
      <c r="F11" s="444">
        <f>payesh!G152</f>
        <v>0</v>
      </c>
      <c r="G11" s="444">
        <f>payesh!H152</f>
        <v>0</v>
      </c>
      <c r="H11" s="444">
        <f>payesh!I152</f>
        <v>0</v>
      </c>
      <c r="I11" s="444">
        <f>payesh!J152</f>
        <v>0</v>
      </c>
      <c r="J11" s="444">
        <f>payesh!K152</f>
        <v>0</v>
      </c>
      <c r="K11" s="444">
        <f>payesh!L152</f>
        <v>0</v>
      </c>
      <c r="L11" s="444">
        <f>payesh!M152</f>
        <v>0</v>
      </c>
      <c r="M11" s="444">
        <f>payesh!N152</f>
        <v>0</v>
      </c>
      <c r="N11" s="444">
        <f>payesh!O152</f>
        <v>0</v>
      </c>
      <c r="O11" s="444">
        <f>payesh!P152</f>
        <v>0</v>
      </c>
      <c r="P11" s="444">
        <f>payesh!Q152</f>
        <v>0</v>
      </c>
      <c r="Q11" s="444">
        <f>payesh!R152</f>
        <v>0</v>
      </c>
      <c r="R11" s="444">
        <f>payesh!S152</f>
        <v>0</v>
      </c>
      <c r="S11" s="444">
        <f>payesh!T152</f>
        <v>0</v>
      </c>
      <c r="T11" s="444">
        <f>payesh!U152</f>
        <v>0</v>
      </c>
      <c r="U11" s="444">
        <f>payesh!V152</f>
        <v>0</v>
      </c>
      <c r="V11" s="444">
        <f>payesh!W152</f>
        <v>0</v>
      </c>
      <c r="W11" s="444">
        <f>payesh!X152</f>
        <v>0</v>
      </c>
      <c r="X11" s="461">
        <f>COUNTIF(D11:W11,"ت11")</f>
        <v>0</v>
      </c>
      <c r="Y11" s="445">
        <f>Pardakhti!N11</f>
        <v>0</v>
      </c>
      <c r="Z11" s="446">
        <f>Pardakhti!O11</f>
        <v>0</v>
      </c>
      <c r="AA11" s="446">
        <f>Pardakhti!P11</f>
        <v>0</v>
      </c>
      <c r="AB11" s="467">
        <f>Pardakhti!Q11</f>
        <v>0</v>
      </c>
      <c r="AC11" s="464">
        <f t="shared" si="0"/>
        <v>0</v>
      </c>
      <c r="AD11" s="470">
        <f>COUNTIF(J11:W11,"ت11")</f>
        <v>0</v>
      </c>
      <c r="AE11" s="447">
        <f>Pardakhti!X11</f>
        <v>0</v>
      </c>
      <c r="AF11" s="448">
        <f>Pardakhti!Y11</f>
        <v>0</v>
      </c>
      <c r="AG11" s="471">
        <f t="shared" si="1"/>
        <v>0</v>
      </c>
    </row>
    <row r="12" spans="2:33" ht="19.5" thickBot="1" x14ac:dyDescent="0.45">
      <c r="B12" s="636" t="s">
        <v>106</v>
      </c>
      <c r="C12" s="639"/>
      <c r="D12" s="649"/>
      <c r="E12" s="649"/>
      <c r="F12" s="649"/>
      <c r="G12" s="649"/>
      <c r="H12" s="649"/>
      <c r="I12" s="649"/>
      <c r="J12" s="649"/>
      <c r="K12" s="649"/>
      <c r="L12" s="649"/>
      <c r="M12" s="649"/>
      <c r="N12" s="649"/>
      <c r="O12" s="649"/>
      <c r="P12" s="649"/>
      <c r="Q12" s="649"/>
      <c r="R12" s="649"/>
      <c r="S12" s="649"/>
      <c r="T12" s="649"/>
      <c r="U12" s="649"/>
      <c r="V12" s="649"/>
      <c r="W12" s="649"/>
      <c r="X12" s="460">
        <f>SUM(X6:X11)</f>
        <v>0</v>
      </c>
      <c r="Y12" s="465">
        <f t="shared" ref="Y12:AC12" si="2">SUM(Y6:Y11)</f>
        <v>0</v>
      </c>
      <c r="Z12" s="465">
        <f t="shared" si="2"/>
        <v>0</v>
      </c>
      <c r="AA12" s="465">
        <f t="shared" si="2"/>
        <v>0</v>
      </c>
      <c r="AB12" s="466">
        <f t="shared" si="2"/>
        <v>0</v>
      </c>
      <c r="AC12" s="458">
        <f t="shared" si="2"/>
        <v>0</v>
      </c>
      <c r="AD12" s="449">
        <f>SUM(AD6:AD11)</f>
        <v>0</v>
      </c>
      <c r="AE12" s="472">
        <f t="shared" ref="AE12:AG12" si="3">SUM(AE6:AE11)</f>
        <v>0</v>
      </c>
      <c r="AF12" s="473">
        <f t="shared" si="3"/>
        <v>0</v>
      </c>
      <c r="AG12" s="459">
        <f t="shared" si="3"/>
        <v>0</v>
      </c>
    </row>
    <row r="13" spans="2:33" ht="19.5" thickBot="1" x14ac:dyDescent="0.45">
      <c r="B13" s="636" t="s">
        <v>430</v>
      </c>
      <c r="C13" s="637"/>
      <c r="D13" s="638"/>
      <c r="E13" s="639"/>
      <c r="F13" s="639"/>
      <c r="G13" s="639"/>
      <c r="H13" s="639"/>
      <c r="I13" s="639"/>
      <c r="J13" s="639"/>
      <c r="K13" s="639"/>
      <c r="L13" s="639"/>
      <c r="M13" s="639"/>
      <c r="N13" s="639"/>
      <c r="O13" s="639"/>
      <c r="P13" s="637"/>
      <c r="Q13" s="638" t="s">
        <v>227</v>
      </c>
      <c r="R13" s="639"/>
      <c r="S13" s="639"/>
      <c r="T13" s="639"/>
      <c r="U13" s="639"/>
      <c r="V13" s="639"/>
      <c r="W13" s="639"/>
      <c r="X13" s="640"/>
      <c r="Y13" s="641"/>
      <c r="Z13" s="642"/>
      <c r="AA13" s="642"/>
      <c r="AB13" s="642"/>
      <c r="AC13" s="643"/>
    </row>
    <row r="14" spans="2:33" ht="18" thickBot="1" x14ac:dyDescent="0.45"/>
    <row r="15" spans="2:33" ht="18.75" x14ac:dyDescent="0.4">
      <c r="B15" s="644" t="s">
        <v>431</v>
      </c>
      <c r="C15" s="645"/>
      <c r="D15" s="645"/>
      <c r="E15" s="645"/>
      <c r="F15" s="645"/>
      <c r="G15" s="645"/>
      <c r="H15" s="645"/>
      <c r="I15" s="645"/>
      <c r="J15" s="646"/>
      <c r="K15" s="647" t="s">
        <v>432</v>
      </c>
      <c r="L15" s="645"/>
      <c r="M15" s="645"/>
      <c r="N15" s="645"/>
      <c r="O15" s="645"/>
      <c r="P15" s="645"/>
      <c r="Q15" s="645"/>
      <c r="R15" s="645"/>
      <c r="S15" s="645"/>
      <c r="T15" s="645"/>
      <c r="U15" s="645"/>
      <c r="V15" s="645"/>
      <c r="W15" s="645"/>
      <c r="X15" s="645"/>
      <c r="Y15" s="646"/>
      <c r="Z15" s="647" t="s">
        <v>433</v>
      </c>
      <c r="AA15" s="645"/>
      <c r="AB15" s="645"/>
      <c r="AC15" s="648"/>
    </row>
    <row r="16" spans="2:33" ht="19.5" thickBot="1" x14ac:dyDescent="0.45">
      <c r="B16" s="629"/>
      <c r="C16" s="630"/>
      <c r="D16" s="630"/>
      <c r="E16" s="630"/>
      <c r="F16" s="630"/>
      <c r="G16" s="630"/>
      <c r="H16" s="630"/>
      <c r="I16" s="630"/>
      <c r="J16" s="631"/>
      <c r="K16" s="632"/>
      <c r="L16" s="630"/>
      <c r="M16" s="630"/>
      <c r="N16" s="630"/>
      <c r="O16" s="630"/>
      <c r="P16" s="630"/>
      <c r="Q16" s="630"/>
      <c r="R16" s="630"/>
      <c r="S16" s="630"/>
      <c r="T16" s="630"/>
      <c r="U16" s="630"/>
      <c r="V16" s="630"/>
      <c r="W16" s="630"/>
      <c r="X16" s="630"/>
      <c r="Y16" s="631"/>
      <c r="Z16" s="633"/>
      <c r="AA16" s="634"/>
      <c r="AB16" s="634"/>
      <c r="AC16" s="635"/>
    </row>
  </sheetData>
  <sheetProtection algorithmName="SHA-512" hashValue="BMYME3H/AbpZ1VrO8n4NzWndHhE4+qcBgF6PpWyU3OWtWZmizu+Novhwfk/Z9/MZkrUzHUtDRFFTI+8N6U7V2g==" saltValue="4PQlMGsZCpCXIkbfXqnw8Q==" spinCount="100000" sheet="1" objects="1" scenarios="1"/>
  <mergeCells count="26">
    <mergeCell ref="AD3:AG3"/>
    <mergeCell ref="X4:X5"/>
    <mergeCell ref="Y4:Y5"/>
    <mergeCell ref="Z4:Z5"/>
    <mergeCell ref="AA4:AA5"/>
    <mergeCell ref="AB4:AB5"/>
    <mergeCell ref="AD4:AD5"/>
    <mergeCell ref="AE4:AE5"/>
    <mergeCell ref="AF4:AF5"/>
    <mergeCell ref="AG4:AG5"/>
    <mergeCell ref="B12:W12"/>
    <mergeCell ref="B2:AC2"/>
    <mergeCell ref="B3:B5"/>
    <mergeCell ref="C3:C5"/>
    <mergeCell ref="X3:AC3"/>
    <mergeCell ref="AC4:AC5"/>
    <mergeCell ref="B16:J16"/>
    <mergeCell ref="K16:Y16"/>
    <mergeCell ref="Z16:AC16"/>
    <mergeCell ref="B13:C13"/>
    <mergeCell ref="D13:P13"/>
    <mergeCell ref="Q13:X13"/>
    <mergeCell ref="Y13:AC13"/>
    <mergeCell ref="B15:J15"/>
    <mergeCell ref="K15:Y15"/>
    <mergeCell ref="Z15:AC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2016-09-04T17:24:06Z</dcterms:modified>
</cp:coreProperties>
</file>